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37122" sheetId="2" r:id="rId2"/>
  </sheets>
  <calcPr calcId="124519"/>
</workbook>
</file>

<file path=xl/calcChain.xml><?xml version="1.0" encoding="utf-8"?>
<calcChain xmlns="http://schemas.openxmlformats.org/spreadsheetml/2006/main">
  <c r="F483" i="2"/>
  <c r="F481"/>
  <c r="F480"/>
  <c r="L143" i="1"/>
  <c r="F478" i="2"/>
  <c r="L142" i="1"/>
  <c r="F477" i="2"/>
  <c r="F476"/>
  <c r="F475"/>
  <c r="L141" i="1"/>
  <c r="F473" i="2"/>
  <c r="F472"/>
  <c r="F471"/>
  <c r="F470"/>
  <c r="F469"/>
  <c r="F468"/>
  <c r="F467"/>
  <c r="L139" i="1"/>
  <c r="F466" i="2"/>
  <c r="F465"/>
  <c r="F464"/>
  <c r="L138" i="1"/>
  <c r="F463" i="2"/>
  <c r="F460"/>
  <c r="F459"/>
  <c r="F458"/>
  <c r="F457"/>
  <c r="F456"/>
  <c r="L137" i="1"/>
  <c r="L136"/>
  <c r="F455" i="2"/>
  <c r="F454"/>
  <c r="F453"/>
  <c r="F452"/>
  <c r="F451"/>
  <c r="F450"/>
  <c r="L135" i="1"/>
  <c r="G135"/>
  <c r="F449" i="2"/>
  <c r="F448"/>
  <c r="F447"/>
  <c r="F446"/>
  <c r="F445"/>
  <c r="F444"/>
  <c r="L134" i="1"/>
  <c r="F442" i="2"/>
  <c r="L133" i="1"/>
  <c r="F441" i="2"/>
  <c r="F440"/>
  <c r="F439"/>
  <c r="F438"/>
  <c r="F437"/>
  <c r="L132" i="1"/>
  <c r="G132"/>
  <c r="F435" i="2"/>
  <c r="L131" i="1"/>
  <c r="F434" i="2"/>
  <c r="F433"/>
  <c r="F432"/>
  <c r="L130" i="1"/>
  <c r="F430" i="2"/>
  <c r="L129" i="1"/>
  <c r="F429" i="2"/>
  <c r="F428"/>
  <c r="F427"/>
  <c r="F426"/>
  <c r="L128" i="1"/>
  <c r="F424" i="2"/>
  <c r="L127" i="1"/>
  <c r="G127"/>
  <c r="F423" i="2"/>
  <c r="F422"/>
  <c r="F421"/>
  <c r="F420"/>
  <c r="L126" i="1"/>
  <c r="L125"/>
  <c r="F418" i="2"/>
  <c r="L124" i="1"/>
  <c r="F417" i="2"/>
  <c r="F416"/>
  <c r="F415"/>
  <c r="F413"/>
  <c r="L123" i="1"/>
  <c r="F412" i="2"/>
  <c r="F411"/>
  <c r="F410"/>
  <c r="F409"/>
  <c r="F408"/>
  <c r="F407"/>
  <c r="L122" i="1"/>
  <c r="F406" i="2"/>
  <c r="F405"/>
  <c r="F404"/>
  <c r="L121" i="1"/>
  <c r="F403" i="2"/>
  <c r="F401"/>
  <c r="F400"/>
  <c r="F399"/>
  <c r="L120" i="1"/>
  <c r="F398" i="2"/>
  <c r="F397"/>
  <c r="F396"/>
  <c r="L119" i="1"/>
  <c r="F395" i="2"/>
  <c r="F394"/>
  <c r="F393"/>
  <c r="F392"/>
  <c r="F391"/>
  <c r="F390"/>
  <c r="L118" i="1"/>
  <c r="G118"/>
  <c r="F389" i="2"/>
  <c r="F388"/>
  <c r="F387"/>
  <c r="F386"/>
  <c r="F385"/>
  <c r="F384"/>
  <c r="L117" i="1"/>
  <c r="F382" i="2"/>
  <c r="L116" i="1"/>
  <c r="F381" i="2"/>
  <c r="F380"/>
  <c r="F379"/>
  <c r="F378"/>
  <c r="F377"/>
  <c r="L115" i="1"/>
  <c r="G115"/>
  <c r="F375" i="2"/>
  <c r="L114" i="1"/>
  <c r="F374" i="2"/>
  <c r="F373"/>
  <c r="F372"/>
  <c r="L113" i="1"/>
  <c r="F370" i="2"/>
  <c r="L112" i="1"/>
  <c r="F369" i="2"/>
  <c r="F368"/>
  <c r="F367"/>
  <c r="F366"/>
  <c r="L111" i="1"/>
  <c r="F364" i="2"/>
  <c r="L110" i="1"/>
  <c r="G110"/>
  <c r="F363" i="2"/>
  <c r="F361"/>
  <c r="F360"/>
  <c r="L109" i="1"/>
  <c r="F358" i="2"/>
  <c r="L108" i="1"/>
  <c r="F357" i="2"/>
  <c r="F356"/>
  <c r="F355"/>
  <c r="L107" i="1"/>
  <c r="F353" i="2"/>
  <c r="L106" i="1"/>
  <c r="F350" i="2"/>
  <c r="F351"/>
  <c r="F349"/>
  <c r="F348"/>
  <c r="L105" i="1"/>
  <c r="F347" i="2"/>
  <c r="F344"/>
  <c r="L104" i="1"/>
  <c r="F343" i="2"/>
  <c r="F341"/>
  <c r="F340"/>
  <c r="F339"/>
  <c r="L103" i="1"/>
  <c r="F338" i="2"/>
  <c r="F337"/>
  <c r="F336"/>
  <c r="L102" i="1"/>
  <c r="F335" i="2"/>
  <c r="F334"/>
  <c r="F333"/>
  <c r="F332"/>
  <c r="F331"/>
  <c r="F330"/>
  <c r="L101" i="1"/>
  <c r="G101"/>
  <c r="F329" i="2"/>
  <c r="F328"/>
  <c r="F327"/>
  <c r="F326"/>
  <c r="F325"/>
  <c r="F324"/>
  <c r="L100" i="1"/>
  <c r="F322" i="2"/>
  <c r="L99" i="1"/>
  <c r="F321" i="2"/>
  <c r="F319"/>
  <c r="F318"/>
  <c r="F317"/>
  <c r="L98" i="1"/>
  <c r="G98"/>
  <c r="F315" i="2"/>
  <c r="L97" i="1"/>
  <c r="F314" i="2"/>
  <c r="F313"/>
  <c r="F312"/>
  <c r="L96" i="1"/>
  <c r="F310" i="2"/>
  <c r="L95" i="1"/>
  <c r="F309" i="2"/>
  <c r="F306"/>
  <c r="L94" i="1"/>
  <c r="L93"/>
  <c r="F304" i="2"/>
  <c r="G93" i="1"/>
  <c r="F292" i="2"/>
  <c r="F243"/>
  <c r="F240"/>
  <c r="L75" i="1"/>
  <c r="F238" i="2"/>
  <c r="L74" i="1"/>
  <c r="F237" i="2"/>
  <c r="F236"/>
  <c r="F235"/>
  <c r="L73" i="1"/>
  <c r="F233" i="2"/>
  <c r="L72" i="1"/>
  <c r="F232" i="2"/>
  <c r="F231"/>
  <c r="F230"/>
  <c r="F229"/>
  <c r="F228"/>
  <c r="F227"/>
  <c r="L71" i="1"/>
  <c r="F226" i="2"/>
  <c r="F225"/>
  <c r="F224"/>
  <c r="L70" i="1"/>
  <c r="F223" i="2"/>
  <c r="F220"/>
  <c r="F219"/>
  <c r="L69" i="1"/>
  <c r="F218" i="2"/>
  <c r="F217"/>
  <c r="F216"/>
  <c r="L68" i="1"/>
  <c r="F215" i="2"/>
  <c r="F214"/>
  <c r="F213"/>
  <c r="F212"/>
  <c r="F211"/>
  <c r="F210"/>
  <c r="L67" i="1"/>
  <c r="G67"/>
  <c r="F209" i="2"/>
  <c r="F208"/>
  <c r="F207"/>
  <c r="F206"/>
  <c r="F205"/>
  <c r="F204"/>
  <c r="L66" i="1"/>
  <c r="F202" i="2"/>
  <c r="L65" i="1"/>
  <c r="G65"/>
  <c r="F201" i="2"/>
  <c r="F200"/>
  <c r="F199"/>
  <c r="F198"/>
  <c r="F197"/>
  <c r="L64" i="1"/>
  <c r="G64"/>
  <c r="F195" i="2"/>
  <c r="L63" i="1"/>
  <c r="F194" i="2"/>
  <c r="F193"/>
  <c r="F192"/>
  <c r="L62" i="1"/>
  <c r="F190" i="2"/>
  <c r="L61" i="1"/>
  <c r="F189" i="2"/>
  <c r="F187"/>
  <c r="F186"/>
  <c r="L60" i="1"/>
  <c r="F184" i="2"/>
  <c r="F183"/>
  <c r="F182"/>
  <c r="F181"/>
  <c r="F180"/>
  <c r="L59" i="1"/>
  <c r="G59"/>
  <c r="L58"/>
  <c r="F178" i="2"/>
  <c r="L57" i="1"/>
  <c r="F177" i="2"/>
  <c r="F176"/>
  <c r="F175"/>
  <c r="L56" i="1"/>
  <c r="F173" i="2"/>
  <c r="L55" i="1"/>
  <c r="F172" i="2"/>
  <c r="F171"/>
  <c r="F170"/>
  <c r="F169"/>
  <c r="F168"/>
  <c r="F167"/>
  <c r="L54" i="1"/>
  <c r="F166" i="2"/>
  <c r="F165"/>
  <c r="F164"/>
  <c r="L53" i="1"/>
  <c r="F163" i="2"/>
  <c r="F160"/>
  <c r="F159"/>
  <c r="L52" i="1"/>
  <c r="F158" i="2"/>
  <c r="F157"/>
  <c r="F156"/>
  <c r="L51" i="1"/>
  <c r="F155" i="2"/>
  <c r="F154"/>
  <c r="F153"/>
  <c r="F152"/>
  <c r="F151"/>
  <c r="F150"/>
  <c r="L50" i="1"/>
  <c r="G50"/>
  <c r="F149" i="2"/>
  <c r="F148"/>
  <c r="F147"/>
  <c r="F146"/>
  <c r="F145"/>
  <c r="F144"/>
  <c r="L49" i="1"/>
  <c r="F142" i="2"/>
  <c r="L48" i="1"/>
  <c r="F141" i="2"/>
  <c r="F140"/>
  <c r="F139"/>
  <c r="F138"/>
  <c r="F137"/>
  <c r="L47" i="1"/>
  <c r="G47"/>
  <c r="F135" i="2"/>
  <c r="L46" i="1"/>
  <c r="F134" i="2"/>
  <c r="F133"/>
  <c r="F132"/>
  <c r="L45" i="1"/>
  <c r="F130" i="2"/>
  <c r="L44" i="1"/>
  <c r="F129" i="2"/>
  <c r="F128"/>
  <c r="F126"/>
  <c r="L43" i="1"/>
  <c r="F124" i="2"/>
  <c r="L42" i="1"/>
  <c r="G42"/>
  <c r="F123" i="2"/>
  <c r="F120"/>
  <c r="L41" i="1"/>
  <c r="F119" i="2"/>
  <c r="F118"/>
  <c r="L40" i="1"/>
  <c r="F117" i="2"/>
  <c r="F116"/>
  <c r="F115"/>
  <c r="L39" i="1"/>
  <c r="F113" i="2"/>
  <c r="L38" i="1"/>
  <c r="F111" i="2"/>
  <c r="F110"/>
  <c r="F109"/>
  <c r="F108"/>
  <c r="F107"/>
  <c r="L37" i="1"/>
  <c r="F105" i="2"/>
  <c r="F104"/>
  <c r="L36" i="1"/>
  <c r="F103" i="2"/>
  <c r="F100"/>
  <c r="F99"/>
  <c r="L35" i="1"/>
  <c r="F98" i="2"/>
  <c r="F97"/>
  <c r="F96"/>
  <c r="L34" i="1"/>
  <c r="F95" i="2"/>
  <c r="F94"/>
  <c r="F93"/>
  <c r="F92"/>
  <c r="F91"/>
  <c r="F90"/>
  <c r="L33" i="1"/>
  <c r="G33"/>
  <c r="F89" i="2"/>
  <c r="F88"/>
  <c r="F87"/>
  <c r="F86"/>
  <c r="F85"/>
  <c r="F84"/>
  <c r="L32" i="1"/>
  <c r="F82" i="2"/>
  <c r="L31" i="1"/>
  <c r="F81" i="2"/>
  <c r="F79"/>
  <c r="F78"/>
  <c r="F77"/>
  <c r="L30" i="1"/>
  <c r="G30"/>
  <c r="F75" i="2"/>
  <c r="L29" i="1"/>
  <c r="F74" i="2"/>
  <c r="F73"/>
  <c r="F72"/>
  <c r="L28" i="1"/>
  <c r="F70" i="2"/>
  <c r="L27" i="1"/>
  <c r="F69" i="2"/>
  <c r="F68"/>
  <c r="F66"/>
  <c r="L26" i="1"/>
  <c r="L25"/>
</calcChain>
</file>

<file path=xl/sharedStrings.xml><?xml version="1.0" encoding="utf-8"?>
<sst xmlns="http://schemas.openxmlformats.org/spreadsheetml/2006/main" count="1269" uniqueCount="151">
  <si>
    <t>36013</t>
  </si>
  <si>
    <t>TITULO</t>
  </si>
  <si>
    <t>NOMBRE CORTO</t>
  </si>
  <si>
    <t>DESCRIPCION</t>
  </si>
  <si>
    <t>Informes programáticos presupuestales, balances generales y estados financieros</t>
  </si>
  <si>
    <t>2017 Informes programátic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</si>
  <si>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</si>
  <si>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</si>
  <si>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</si>
  <si>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</si>
  <si>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</si>
  <si>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</si>
  <si>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</si>
  <si>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</si>
  <si>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</si>
  <si>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237104</t>
  </si>
  <si>
    <t>237107</t>
  </si>
  <si>
    <t>237105</t>
  </si>
  <si>
    <t>237109</t>
  </si>
  <si>
    <t>237115</t>
  </si>
  <si>
    <t>237116</t>
  </si>
  <si>
    <t>237117</t>
  </si>
  <si>
    <t>237106</t>
  </si>
  <si>
    <t>237108</t>
  </si>
  <si>
    <t>237118</t>
  </si>
  <si>
    <t>237113</t>
  </si>
  <si>
    <t>237114</t>
  </si>
  <si>
    <t>237122</t>
  </si>
  <si>
    <t>237110</t>
  </si>
  <si>
    <t>237119</t>
  </si>
  <si>
    <t>237120</t>
  </si>
  <si>
    <t>237121</t>
  </si>
  <si>
    <t>237112</t>
  </si>
  <si>
    <t>237111</t>
  </si>
  <si>
    <t>237123</t>
  </si>
  <si>
    <t>237124</t>
  </si>
  <si>
    <t>237125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</si>
  <si>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</si>
  <si>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</si>
  <si>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</si>
  <si>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</si>
  <si>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</si>
  <si>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</si>
  <si>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</si>
  <si>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</si>
  <si>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</si>
  <si>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</si>
  <si>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</si>
  <si>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</si>
  <si>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</si>
  <si>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</si>
  <si>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30074</t>
  </si>
  <si>
    <t>30075</t>
  </si>
  <si>
    <t>30076</t>
  </si>
  <si>
    <t>30077</t>
  </si>
  <si>
    <t>30078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</si>
  <si>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</si>
  <si>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</si>
  <si>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</si>
  <si>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</si>
  <si>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</si>
  <si>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</si>
  <si>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</si>
  <si>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</si>
  <si>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</si>
  <si>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</si>
  <si>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</si>
  <si>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</si>
  <si>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</si>
  <si>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</si>
  <si>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</si>
  <si>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</si>
  <si>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REMUNERACIONES AL PERSONAL DE CARÁCTER PERMANENTE</t>
  </si>
  <si>
    <t xml:space="preserve"> </t>
  </si>
  <si>
    <t>http://codhet.org.mx/WP/wp-content/uploads/2016/03/egres2015.pdf</t>
  </si>
  <si>
    <t>UNIDAD ADMINISTRATIVA</t>
  </si>
  <si>
    <t>REMUNERACIONES ADICIONALES Y ESPECIALES</t>
  </si>
  <si>
    <t>PRIMER TRIMESTRE</t>
  </si>
  <si>
    <t xml:space="preserve">SEGURIDAD SOCIAL </t>
  </si>
  <si>
    <t>Sueldos base al personal permanente</t>
  </si>
  <si>
    <t xml:space="preserve">Primas de vacaciones, dominical y gratificaciones </t>
  </si>
  <si>
    <t>Horas extraordinarias</t>
  </si>
  <si>
    <t>Compensaciones</t>
  </si>
  <si>
    <t>SEGURIDAD SOCIAL</t>
  </si>
  <si>
    <t>Aportaciones de seguridad social</t>
  </si>
  <si>
    <t>OTRAS PRESTACIONES SOCIALES Y ECONOMICAS</t>
  </si>
  <si>
    <t>Apoyos a la capacitacion de los servidores publicos</t>
  </si>
  <si>
    <t xml:space="preserve">Otras prestaciones sociales y economicas </t>
  </si>
  <si>
    <t>PAGO DE ESTIMULOS A SERVIDORES PUBLICOS</t>
  </si>
  <si>
    <t>Estimulos al personal</t>
  </si>
  <si>
    <t>MATERIALES Y SUMINISTROS</t>
  </si>
  <si>
    <t>MATERIALES DE ADMINISTRACION, EMISIÓN DE DOCUMENTOS</t>
  </si>
  <si>
    <t>MATERIALES DE ADMINISTRACION, EMISION DE DOCUMENTOS</t>
  </si>
  <si>
    <t>Materiales, utiles y equipos menores de oficina</t>
  </si>
  <si>
    <t>Materiales y utiles de impresión y reproduccion</t>
  </si>
  <si>
    <t>Material impreso e informacion digital</t>
  </si>
  <si>
    <t>Material de limpieza</t>
  </si>
  <si>
    <t>COMBUSTIBLES, LUBRICANTES Y ADICTIVOS</t>
  </si>
  <si>
    <t>Combustibles, lubricantes y adictivos</t>
  </si>
  <si>
    <t>HERRAMIENTAS, REFACIONES Y ACCESORIOS MENORES</t>
  </si>
  <si>
    <t>$620 CORRESPONDEN A UN ADEUDO DEL PRIMER TRIMEWSTRE QUE SON CUBIERTOS EN EL SIGUIENTE TRIMESTRE</t>
  </si>
  <si>
    <t>HERRAMIENTAS, REFACCIONES Y ACCESORIOS</t>
  </si>
  <si>
    <t>Herramientas menores</t>
  </si>
  <si>
    <t>Refacciones y accesorios menores de edificios</t>
  </si>
  <si>
    <t xml:space="preserve">Refacciones y accesorios menos de mobiliario </t>
  </si>
  <si>
    <t>Refacciones y accesorios menores de equipo de computo</t>
  </si>
  <si>
    <t>Refacciones y accesorios menores de equipo de transporte</t>
  </si>
  <si>
    <t>SERVICIOS GENERALES</t>
  </si>
  <si>
    <t>SERVICIOS BASICOS</t>
  </si>
  <si>
    <t>Energia electrica</t>
  </si>
  <si>
    <t>Agua</t>
  </si>
  <si>
    <t>Telefonia tradicional</t>
  </si>
  <si>
    <t>Telefonia celular</t>
  </si>
  <si>
    <t>Servicios postales y telegraficos</t>
  </si>
  <si>
    <t>SERVICIOS DE ARRENDAMIENTO</t>
  </si>
  <si>
    <t xml:space="preserve">Arrendamiento de mobiliario y equipo de administracion </t>
  </si>
  <si>
    <t>Arrendamiento de edificios</t>
  </si>
  <si>
    <t>SERVICIOS PROFESIONALES, CIENTIFICOS Y TECNICOS</t>
  </si>
  <si>
    <t>SERVICIOS PROFESIONALES, CIENTIFICOS, TECNICOS Y OTROS SERVICIOS</t>
  </si>
  <si>
    <t xml:space="preserve">Servicios legales, de contabilidad, auditoria </t>
  </si>
  <si>
    <t>Servicios de consultoria administrativa, procesos, tecnica y en tecnologia de la informacion</t>
  </si>
  <si>
    <t>Servicios de capacitacion</t>
  </si>
  <si>
    <t>Servicio de apoyo administrativo, fotocopiado e impresión</t>
  </si>
  <si>
    <t>SERVICIOS FINANCIEROS, BANCARIOS Y COMERCIALES</t>
  </si>
  <si>
    <t>Servicios financieros y bancarios</t>
  </si>
  <si>
    <t>Seguros de bienes patrimoniales</t>
  </si>
  <si>
    <t xml:space="preserve">SERVICIOS DE INSTALACION, REPARACION Y MANTENIMIENTO </t>
  </si>
  <si>
    <t>SERVICIOS DE INSTALACION, REPARACION Y MANTENIMIENTO</t>
  </si>
  <si>
    <t>Conservacion y mantenimiento menor de inmuebles</t>
  </si>
  <si>
    <t xml:space="preserve">Intalacion, reparacion y mantenimiento de mobiliario y equipo </t>
  </si>
  <si>
    <t>Instalacion, reparacion y mantenimiento de equipo de computo</t>
  </si>
  <si>
    <t>Reparacion y mantenimiento de equipo de transporte</t>
  </si>
  <si>
    <t>Servicios de jardineria y fumigacion</t>
  </si>
  <si>
    <t>SERVICIOS DE COMUNICACIÓN SOCIAL Y PUBLICIDAD</t>
  </si>
  <si>
    <t>Difusion por radio, television y otros</t>
  </si>
  <si>
    <t>SERVICIOS DE TRASLADO Y VIATICOS</t>
  </si>
  <si>
    <t>Pasajes aereos</t>
  </si>
  <si>
    <t>Viaticos en el pais</t>
  </si>
  <si>
    <t>SERVICIOS OFICIALES</t>
  </si>
  <si>
    <t xml:space="preserve">SERVICIOS OFICIALES </t>
  </si>
  <si>
    <t>Gastos de orden social y cultural</t>
  </si>
  <si>
    <t>OTROS SERVICIOS GENERALES</t>
  </si>
  <si>
    <t xml:space="preserve">Impuestos y derechos </t>
  </si>
  <si>
    <t xml:space="preserve">Penas, multas, accesorios y actualizaciones </t>
  </si>
  <si>
    <t>Impuestos sobre nomina y otros que se deriven de una relacion laboral</t>
  </si>
  <si>
    <t xml:space="preserve">SEGUNDO TRIMESTRE </t>
  </si>
  <si>
    <t>SERVICIOS TRASLADOS Y VIATICOS</t>
  </si>
  <si>
    <t>TERCER TRIMESTRE</t>
  </si>
  <si>
    <t>CUARTO TRIMESTRE</t>
  </si>
  <si>
    <t>SERVCIOS GENERALES</t>
  </si>
  <si>
    <t>http://codhet.org.mx/WP/wp-content/uploads/2017/04/egresos2016.pdf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</si>
</sst>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Univers Condensed"/>
      <family val="2"/>
    </font>
    <font>
      <sz val="8"/>
      <name val="Univers Condensed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5" fillId="0" borderId="0" xfId="0" applyFont="1" applyProtection="1"/>
    <xf numFmtId="2" fontId="0" fillId="0" borderId="0" xfId="0" applyNumberFormat="1" applyProtection="1"/>
    <xf numFmtId="0" fontId="5" fillId="0" borderId="0" xfId="0" applyFont="1" applyFill="1" applyBorder="1" applyProtection="1"/>
    <xf numFmtId="2" fontId="5" fillId="0" borderId="0" xfId="0" applyNumberFormat="1" applyFont="1" applyFill="1" applyBorder="1" applyProtection="1"/>
    <xf numFmtId="0" fontId="7" fillId="0" borderId="0" xfId="0" applyFont="1" applyFill="1" applyBorder="1"/>
    <xf numFmtId="0" fontId="6" fillId="0" borderId="0" xfId="0" applyFont="1" applyFill="1" applyBorder="1"/>
    <xf numFmtId="2" fontId="0" fillId="0" borderId="0" xfId="0" applyNumberFormat="1" applyFill="1" applyBorder="1" applyProtection="1"/>
    <xf numFmtId="2" fontId="5" fillId="0" borderId="0" xfId="0" applyNumberFormat="1" applyFont="1" applyProtection="1"/>
    <xf numFmtId="0" fontId="6" fillId="0" borderId="0" xfId="0" applyFont="1" applyFill="1" applyBorder="1" applyProtection="1"/>
    <xf numFmtId="14" fontId="0" fillId="0" borderId="0" xfId="0" applyNumberFormat="1" applyProtection="1"/>
    <xf numFmtId="0" fontId="4" fillId="0" borderId="0" xfId="0" applyFont="1" applyProtection="1"/>
    <xf numFmtId="0" fontId="4" fillId="0" borderId="0" xfId="0" applyFont="1" applyFill="1" applyBorder="1" applyProtection="1"/>
    <xf numFmtId="2" fontId="4" fillId="0" borderId="0" xfId="0" applyNumberFormat="1" applyFont="1" applyFill="1" applyBorder="1" applyProtection="1"/>
    <xf numFmtId="2" fontId="0" fillId="0" borderId="0" xfId="0" applyNumberForma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8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dhet.org.mx/WP/wp-content/uploads/2017/04/egresos2016.pdf" TargetMode="External"/><Relationship Id="rId18" Type="http://schemas.openxmlformats.org/officeDocument/2006/relationships/hyperlink" Target="http://codhet.org.mx/WP/wp-content/uploads/2017/04/egresos2016.pdf" TargetMode="External"/><Relationship Id="rId26" Type="http://schemas.openxmlformats.org/officeDocument/2006/relationships/hyperlink" Target="http://codhet.org.mx/WP/wp-content/uploads/2017/04/egresos2016.pdf" TargetMode="External"/><Relationship Id="rId39" Type="http://schemas.openxmlformats.org/officeDocument/2006/relationships/hyperlink" Target="http://codhet.org.mx/WP/wp-content/uploads/2017/04/egresos2016.pdf" TargetMode="External"/><Relationship Id="rId21" Type="http://schemas.openxmlformats.org/officeDocument/2006/relationships/hyperlink" Target="http://codhet.org.mx/WP/wp-content/uploads/2017/04/egresos2016.pdf" TargetMode="External"/><Relationship Id="rId34" Type="http://schemas.openxmlformats.org/officeDocument/2006/relationships/hyperlink" Target="http://codhet.org.mx/WP/wp-content/uploads/2017/04/egresos2016.pdf" TargetMode="External"/><Relationship Id="rId42" Type="http://schemas.openxmlformats.org/officeDocument/2006/relationships/hyperlink" Target="http://codhet.org.mx/WP/wp-content/uploads/2017/04/egresos2016.pdf" TargetMode="External"/><Relationship Id="rId47" Type="http://schemas.openxmlformats.org/officeDocument/2006/relationships/hyperlink" Target="http://codhet.org.mx/WP/wp-content/uploads/2017/04/egresos2016.pdf" TargetMode="External"/><Relationship Id="rId50" Type="http://schemas.openxmlformats.org/officeDocument/2006/relationships/hyperlink" Target="http://codhet.org.mx/WP/wp-content/uploads/2017/04/egresos2016.pdf" TargetMode="External"/><Relationship Id="rId55" Type="http://schemas.openxmlformats.org/officeDocument/2006/relationships/hyperlink" Target="http://codhet.org.mx/WP/wp-content/uploads/2017/04/egresos2016.pdf" TargetMode="External"/><Relationship Id="rId63" Type="http://schemas.openxmlformats.org/officeDocument/2006/relationships/hyperlink" Target="http://codhet.org.mx/WP/wp-content/uploads/2017/04/egresos2016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codhet.org.mx/WP/wp-content/uploads/2017/04/egresos2016.pdf" TargetMode="External"/><Relationship Id="rId2" Type="http://schemas.openxmlformats.org/officeDocument/2006/relationships/hyperlink" Target="http://codhet.org.mx/WP/wp-content/uploads/2017/04/egresos2016.pdf" TargetMode="External"/><Relationship Id="rId16" Type="http://schemas.openxmlformats.org/officeDocument/2006/relationships/hyperlink" Target="http://codhet.org.mx/WP/wp-content/uploads/2017/04/egresos2016.pdf" TargetMode="External"/><Relationship Id="rId29" Type="http://schemas.openxmlformats.org/officeDocument/2006/relationships/hyperlink" Target="http://codhet.org.mx/WP/wp-content/uploads/2017/04/egresos2016.pdf" TargetMode="External"/><Relationship Id="rId1" Type="http://schemas.openxmlformats.org/officeDocument/2006/relationships/hyperlink" Target="http://codhet.org.mx/WP/wp-content/uploads/2017/04/egresos2016.pdf" TargetMode="External"/><Relationship Id="rId6" Type="http://schemas.openxmlformats.org/officeDocument/2006/relationships/hyperlink" Target="http://codhet.org.mx/WP/wp-content/uploads/2017/04/egresos2016.pdf" TargetMode="External"/><Relationship Id="rId11" Type="http://schemas.openxmlformats.org/officeDocument/2006/relationships/hyperlink" Target="http://codhet.org.mx/WP/wp-content/uploads/2017/04/egresos2016.pdf" TargetMode="External"/><Relationship Id="rId24" Type="http://schemas.openxmlformats.org/officeDocument/2006/relationships/hyperlink" Target="http://codhet.org.mx/WP/wp-content/uploads/2017/04/egresos2016.pdf" TargetMode="External"/><Relationship Id="rId32" Type="http://schemas.openxmlformats.org/officeDocument/2006/relationships/hyperlink" Target="http://codhet.org.mx/WP/wp-content/uploads/2017/04/egresos2016.pdf" TargetMode="External"/><Relationship Id="rId37" Type="http://schemas.openxmlformats.org/officeDocument/2006/relationships/hyperlink" Target="http://codhet.org.mx/WP/wp-content/uploads/2017/04/egresos2016.pdf" TargetMode="External"/><Relationship Id="rId40" Type="http://schemas.openxmlformats.org/officeDocument/2006/relationships/hyperlink" Target="http://codhet.org.mx/WP/wp-content/uploads/2017/04/egresos2016.pdf" TargetMode="External"/><Relationship Id="rId45" Type="http://schemas.openxmlformats.org/officeDocument/2006/relationships/hyperlink" Target="http://codhet.org.mx/WP/wp-content/uploads/2017/04/egresos2016.pdf" TargetMode="External"/><Relationship Id="rId53" Type="http://schemas.openxmlformats.org/officeDocument/2006/relationships/hyperlink" Target="http://codhet.org.mx/WP/wp-content/uploads/2017/04/egresos2016.pdf" TargetMode="External"/><Relationship Id="rId58" Type="http://schemas.openxmlformats.org/officeDocument/2006/relationships/hyperlink" Target="http://codhet.org.mx/WP/wp-content/uploads/2017/04/egresos2016.pdf" TargetMode="External"/><Relationship Id="rId66" Type="http://schemas.openxmlformats.org/officeDocument/2006/relationships/hyperlink" Target="http://codhet.org.mx/WP/wp-content/uploads/2017/04/egresos2016.pdf" TargetMode="External"/><Relationship Id="rId5" Type="http://schemas.openxmlformats.org/officeDocument/2006/relationships/hyperlink" Target="http://codhet.org.mx/WP/wp-content/uploads/2017/04/egresos2016.pdf" TargetMode="External"/><Relationship Id="rId15" Type="http://schemas.openxmlformats.org/officeDocument/2006/relationships/hyperlink" Target="http://codhet.org.mx/WP/wp-content/uploads/2017/04/egresos2016.pdf" TargetMode="External"/><Relationship Id="rId23" Type="http://schemas.openxmlformats.org/officeDocument/2006/relationships/hyperlink" Target="http://codhet.org.mx/WP/wp-content/uploads/2017/04/egresos2016.pdf" TargetMode="External"/><Relationship Id="rId28" Type="http://schemas.openxmlformats.org/officeDocument/2006/relationships/hyperlink" Target="http://codhet.org.mx/WP/wp-content/uploads/2017/04/egresos2016.pdf" TargetMode="External"/><Relationship Id="rId36" Type="http://schemas.openxmlformats.org/officeDocument/2006/relationships/hyperlink" Target="http://codhet.org.mx/WP/wp-content/uploads/2017/04/egresos2016.pdf" TargetMode="External"/><Relationship Id="rId49" Type="http://schemas.openxmlformats.org/officeDocument/2006/relationships/hyperlink" Target="http://codhet.org.mx/WP/wp-content/uploads/2017/04/egresos2016.pdf" TargetMode="External"/><Relationship Id="rId57" Type="http://schemas.openxmlformats.org/officeDocument/2006/relationships/hyperlink" Target="http://codhet.org.mx/WP/wp-content/uploads/2017/04/egresos2016.pdf" TargetMode="External"/><Relationship Id="rId61" Type="http://schemas.openxmlformats.org/officeDocument/2006/relationships/hyperlink" Target="http://codhet.org.mx/WP/wp-content/uploads/2017/04/egresos2016.pdf" TargetMode="External"/><Relationship Id="rId10" Type="http://schemas.openxmlformats.org/officeDocument/2006/relationships/hyperlink" Target="http://codhet.org.mx/WP/wp-content/uploads/2017/04/egresos2016.pdf" TargetMode="External"/><Relationship Id="rId19" Type="http://schemas.openxmlformats.org/officeDocument/2006/relationships/hyperlink" Target="http://codhet.org.mx/WP/wp-content/uploads/2017/04/egresos2016.pdf" TargetMode="External"/><Relationship Id="rId31" Type="http://schemas.openxmlformats.org/officeDocument/2006/relationships/hyperlink" Target="http://codhet.org.mx/WP/wp-content/uploads/2017/04/egresos2016.pdf" TargetMode="External"/><Relationship Id="rId44" Type="http://schemas.openxmlformats.org/officeDocument/2006/relationships/hyperlink" Target="http://codhet.org.mx/WP/wp-content/uploads/2017/04/egresos2016.pdf" TargetMode="External"/><Relationship Id="rId52" Type="http://schemas.openxmlformats.org/officeDocument/2006/relationships/hyperlink" Target="http://codhet.org.mx/WP/wp-content/uploads/2017/04/egresos2016.pdf" TargetMode="External"/><Relationship Id="rId60" Type="http://schemas.openxmlformats.org/officeDocument/2006/relationships/hyperlink" Target="http://codhet.org.mx/WP/wp-content/uploads/2017/04/egresos2016.pdf" TargetMode="External"/><Relationship Id="rId65" Type="http://schemas.openxmlformats.org/officeDocument/2006/relationships/hyperlink" Target="http://codhet.org.mx/WP/wp-content/uploads/2017/04/egresos2016.pdf" TargetMode="External"/><Relationship Id="rId4" Type="http://schemas.openxmlformats.org/officeDocument/2006/relationships/hyperlink" Target="http://codhet.org.mx/WP/wp-content/uploads/2017/04/egresos2016.pdf" TargetMode="External"/><Relationship Id="rId9" Type="http://schemas.openxmlformats.org/officeDocument/2006/relationships/hyperlink" Target="http://codhet.org.mx/WP/wp-content/uploads/2017/04/egresos2016.pdf" TargetMode="External"/><Relationship Id="rId14" Type="http://schemas.openxmlformats.org/officeDocument/2006/relationships/hyperlink" Target="http://codhet.org.mx/WP/wp-content/uploads/2017/04/egresos2016.pdf" TargetMode="External"/><Relationship Id="rId22" Type="http://schemas.openxmlformats.org/officeDocument/2006/relationships/hyperlink" Target="http://codhet.org.mx/WP/wp-content/uploads/2017/04/egresos2016.pdf" TargetMode="External"/><Relationship Id="rId27" Type="http://schemas.openxmlformats.org/officeDocument/2006/relationships/hyperlink" Target="http://codhet.org.mx/WP/wp-content/uploads/2017/04/egresos2016.pdf" TargetMode="External"/><Relationship Id="rId30" Type="http://schemas.openxmlformats.org/officeDocument/2006/relationships/hyperlink" Target="http://codhet.org.mx/WP/wp-content/uploads/2017/04/egresos2016.pdf" TargetMode="External"/><Relationship Id="rId35" Type="http://schemas.openxmlformats.org/officeDocument/2006/relationships/hyperlink" Target="http://codhet.org.mx/WP/wp-content/uploads/2017/04/egresos2016.pdf" TargetMode="External"/><Relationship Id="rId43" Type="http://schemas.openxmlformats.org/officeDocument/2006/relationships/hyperlink" Target="http://codhet.org.mx/WP/wp-content/uploads/2017/04/egresos2016.pdf" TargetMode="External"/><Relationship Id="rId48" Type="http://schemas.openxmlformats.org/officeDocument/2006/relationships/hyperlink" Target="http://codhet.org.mx/WP/wp-content/uploads/2017/04/egresos2016.pdf" TargetMode="External"/><Relationship Id="rId56" Type="http://schemas.openxmlformats.org/officeDocument/2006/relationships/hyperlink" Target="http://codhet.org.mx/WP/wp-content/uploads/2017/04/egresos2016.pdf" TargetMode="External"/><Relationship Id="rId64" Type="http://schemas.openxmlformats.org/officeDocument/2006/relationships/hyperlink" Target="http://codhet.org.mx/WP/wp-content/uploads/2017/04/egresos2016.pdf" TargetMode="External"/><Relationship Id="rId8" Type="http://schemas.openxmlformats.org/officeDocument/2006/relationships/hyperlink" Target="http://codhet.org.mx/WP/wp-content/uploads/2017/04/egresos2016.pdf" TargetMode="External"/><Relationship Id="rId51" Type="http://schemas.openxmlformats.org/officeDocument/2006/relationships/hyperlink" Target="http://codhet.org.mx/WP/wp-content/uploads/2017/04/egresos2016.pdf" TargetMode="External"/><Relationship Id="rId3" Type="http://schemas.openxmlformats.org/officeDocument/2006/relationships/hyperlink" Target="http://codhet.org.mx/WP/wp-content/uploads/2017/04/egresos2016.pdf" TargetMode="External"/><Relationship Id="rId12" Type="http://schemas.openxmlformats.org/officeDocument/2006/relationships/hyperlink" Target="http://codhet.org.mx/WP/wp-content/uploads/2017/04/egresos2016.pdf" TargetMode="External"/><Relationship Id="rId17" Type="http://schemas.openxmlformats.org/officeDocument/2006/relationships/hyperlink" Target="http://codhet.org.mx/WP/wp-content/uploads/2017/04/egresos2016.pdf" TargetMode="External"/><Relationship Id="rId25" Type="http://schemas.openxmlformats.org/officeDocument/2006/relationships/hyperlink" Target="http://codhet.org.mx/WP/wp-content/uploads/2017/04/egresos2016.pdf" TargetMode="External"/><Relationship Id="rId33" Type="http://schemas.openxmlformats.org/officeDocument/2006/relationships/hyperlink" Target="http://codhet.org.mx/WP/wp-content/uploads/2017/04/egresos2016.pdf" TargetMode="External"/><Relationship Id="rId38" Type="http://schemas.openxmlformats.org/officeDocument/2006/relationships/hyperlink" Target="http://codhet.org.mx/WP/wp-content/uploads/2017/04/egresos2016.pdf" TargetMode="External"/><Relationship Id="rId46" Type="http://schemas.openxmlformats.org/officeDocument/2006/relationships/hyperlink" Target="http://codhet.org.mx/WP/wp-content/uploads/2017/04/egresos2016.pdf" TargetMode="External"/><Relationship Id="rId59" Type="http://schemas.openxmlformats.org/officeDocument/2006/relationships/hyperlink" Target="http://codhet.org.mx/WP/wp-content/uploads/2017/04/egresos2016.pdf" TargetMode="External"/><Relationship Id="rId67" Type="http://schemas.openxmlformats.org/officeDocument/2006/relationships/hyperlink" Target="http://codhet.org.mx/WP/wp-content/uploads/2017/04/egresos2016.pdf" TargetMode="External"/><Relationship Id="rId20" Type="http://schemas.openxmlformats.org/officeDocument/2006/relationships/hyperlink" Target="http://codhet.org.mx/WP/wp-content/uploads/2017/04/egresos2016.pdf" TargetMode="External"/><Relationship Id="rId41" Type="http://schemas.openxmlformats.org/officeDocument/2006/relationships/hyperlink" Target="http://codhet.org.mx/WP/wp-content/uploads/2017/04/egresos2016.pdf" TargetMode="External"/><Relationship Id="rId54" Type="http://schemas.openxmlformats.org/officeDocument/2006/relationships/hyperlink" Target="http://codhet.org.mx/WP/wp-content/uploads/2017/04/egresos2016.pdf" TargetMode="External"/><Relationship Id="rId62" Type="http://schemas.openxmlformats.org/officeDocument/2006/relationships/hyperlink" Target="http://codhet.org.mx/WP/wp-content/uploads/2017/04/egresos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tabSelected="1" topLeftCell="A112" workbookViewId="0">
      <selection activeCell="A159" sqref="A159"/>
    </sheetView>
  </sheetViews>
  <sheetFormatPr baseColWidth="10" defaultColWidth="9.140625" defaultRowHeight="12.75"/>
  <cols>
    <col min="1" max="1" width="67" customWidth="1"/>
    <col min="2" max="2" width="23.140625" customWidth="1"/>
    <col min="3" max="3" width="67" customWidth="1"/>
    <col min="4" max="4" width="28.140625" bestFit="1" customWidth="1"/>
    <col min="5" max="5" width="28.85546875" customWidth="1"/>
    <col min="6" max="6" width="25.140625" customWidth="1"/>
    <col min="7" max="7" width="28" customWidth="1"/>
    <col min="8" max="8" width="16.140625" customWidth="1"/>
    <col min="9" max="9" width="60.5703125" bestFit="1" customWidth="1"/>
    <col min="10" max="10" width="29.7109375" customWidth="1"/>
    <col min="11" max="11" width="31.42578125" customWidth="1"/>
    <col min="12" max="12" width="28.85546875" customWidth="1"/>
    <col min="13" max="13" width="51.5703125" customWidth="1"/>
    <col min="14" max="14" width="39.7109375" customWidth="1"/>
    <col min="15" max="15" width="58.5703125" bestFit="1" customWidth="1"/>
    <col min="16" max="16" width="28.7109375" customWidth="1"/>
    <col min="17" max="17" width="58.5703125" bestFit="1" customWidth="1"/>
    <col min="18" max="18" width="16.5703125" customWidth="1"/>
    <col min="19" max="19" width="33.42578125" customWidth="1"/>
    <col min="20" max="20" width="7.140625" customWidth="1"/>
    <col min="21" max="21" width="19" customWidth="1"/>
    <col min="22" max="22" width="109.7109375" bestFit="1" customWidth="1"/>
  </cols>
  <sheetData>
    <row r="1" spans="1:22" hidden="1">
      <c r="A1" t="s">
        <v>0</v>
      </c>
    </row>
    <row r="2" spans="1:22" ht="15">
      <c r="A2" s="1" t="s">
        <v>1</v>
      </c>
      <c r="B2" s="1" t="s">
        <v>2</v>
      </c>
      <c r="C2" s="1" t="s">
        <v>3</v>
      </c>
    </row>
    <row r="3" spans="1:22">
      <c r="A3" s="2" t="s">
        <v>4</v>
      </c>
      <c r="B3" s="2" t="s">
        <v>5</v>
      </c>
      <c r="C3" s="2" t="s">
        <v>4</v>
      </c>
    </row>
    <row r="4" spans="1:22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2">
      <c r="A8">
        <v>2015</v>
      </c>
      <c r="B8" s="4" t="s">
        <v>77</v>
      </c>
      <c r="C8">
        <v>1000</v>
      </c>
      <c r="D8" t="s">
        <v>71</v>
      </c>
      <c r="E8">
        <v>4562002.09</v>
      </c>
      <c r="F8" t="s">
        <v>73</v>
      </c>
      <c r="G8" s="5">
        <v>4305806</v>
      </c>
      <c r="H8">
        <v>1130</v>
      </c>
      <c r="I8" t="s">
        <v>72</v>
      </c>
      <c r="J8">
        <v>1631210.8199999998</v>
      </c>
      <c r="L8">
        <v>1542752.95</v>
      </c>
      <c r="M8">
        <v>1</v>
      </c>
      <c r="Q8" t="s">
        <v>74</v>
      </c>
      <c r="S8" t="s">
        <v>75</v>
      </c>
      <c r="T8">
        <v>2015</v>
      </c>
    </row>
    <row r="9" spans="1:22">
      <c r="A9">
        <v>2015</v>
      </c>
      <c r="B9" s="4" t="s">
        <v>77</v>
      </c>
      <c r="C9">
        <v>1000</v>
      </c>
      <c r="D9" t="s">
        <v>71</v>
      </c>
      <c r="E9">
        <v>4562002.09</v>
      </c>
      <c r="G9" s="5">
        <v>4305806</v>
      </c>
      <c r="H9">
        <v>1340</v>
      </c>
      <c r="I9" t="s">
        <v>76</v>
      </c>
      <c r="J9">
        <v>2079812.51</v>
      </c>
      <c r="L9">
        <v>2009812.84</v>
      </c>
      <c r="M9">
        <v>2</v>
      </c>
      <c r="Q9" t="s">
        <v>74</v>
      </c>
      <c r="S9" s="4" t="s">
        <v>75</v>
      </c>
      <c r="T9">
        <v>2015</v>
      </c>
    </row>
    <row r="10" spans="1:22">
      <c r="A10">
        <v>2015</v>
      </c>
      <c r="B10" s="4" t="s">
        <v>77</v>
      </c>
      <c r="C10">
        <v>1000</v>
      </c>
      <c r="D10" s="4" t="s">
        <v>71</v>
      </c>
      <c r="E10">
        <v>4562002.09</v>
      </c>
      <c r="G10" s="5">
        <v>4305806</v>
      </c>
      <c r="H10">
        <v>1410</v>
      </c>
      <c r="I10" s="4" t="s">
        <v>78</v>
      </c>
      <c r="J10">
        <v>326792.68</v>
      </c>
      <c r="L10" s="5">
        <v>363143.8</v>
      </c>
      <c r="M10">
        <v>3</v>
      </c>
      <c r="Q10" t="s">
        <v>74</v>
      </c>
      <c r="R10" s="4" t="s">
        <v>73</v>
      </c>
      <c r="S10" s="6" t="s">
        <v>75</v>
      </c>
      <c r="T10">
        <v>2015</v>
      </c>
    </row>
    <row r="11" spans="1:22">
      <c r="A11">
        <v>2015</v>
      </c>
      <c r="B11" s="6" t="s">
        <v>77</v>
      </c>
      <c r="C11">
        <v>1000</v>
      </c>
      <c r="D11" s="6" t="s">
        <v>71</v>
      </c>
      <c r="E11">
        <v>4562002.09</v>
      </c>
      <c r="G11" s="10">
        <v>4305806</v>
      </c>
      <c r="H11">
        <v>1590</v>
      </c>
      <c r="I11" s="6" t="s">
        <v>85</v>
      </c>
      <c r="J11" s="11">
        <v>352204</v>
      </c>
      <c r="L11" s="5">
        <v>344997</v>
      </c>
      <c r="M11">
        <v>4</v>
      </c>
      <c r="Q11" t="s">
        <v>74</v>
      </c>
      <c r="R11" s="4" t="s">
        <v>73</v>
      </c>
      <c r="S11" s="6" t="s">
        <v>75</v>
      </c>
      <c r="T11">
        <v>2015</v>
      </c>
    </row>
    <row r="12" spans="1:22">
      <c r="A12">
        <v>2015</v>
      </c>
      <c r="B12" s="6" t="s">
        <v>77</v>
      </c>
      <c r="C12">
        <v>1000</v>
      </c>
      <c r="D12" s="6" t="s">
        <v>71</v>
      </c>
      <c r="E12">
        <v>4562002.09</v>
      </c>
      <c r="G12" s="10">
        <v>4305806</v>
      </c>
      <c r="H12">
        <v>1710</v>
      </c>
      <c r="I12" s="6" t="s">
        <v>88</v>
      </c>
      <c r="J12">
        <v>171982.08000000002</v>
      </c>
      <c r="K12" s="4" t="s">
        <v>73</v>
      </c>
      <c r="L12" s="11">
        <v>45099.199999999997</v>
      </c>
      <c r="M12" s="4">
        <v>5</v>
      </c>
      <c r="Q12" t="s">
        <v>74</v>
      </c>
      <c r="R12" s="4" t="s">
        <v>73</v>
      </c>
      <c r="S12" s="6" t="s">
        <v>75</v>
      </c>
      <c r="T12">
        <v>2015</v>
      </c>
    </row>
    <row r="13" spans="1:22">
      <c r="A13">
        <v>2015</v>
      </c>
      <c r="B13" s="6" t="s">
        <v>77</v>
      </c>
      <c r="C13">
        <v>2000</v>
      </c>
      <c r="D13" s="6" t="s">
        <v>90</v>
      </c>
      <c r="E13">
        <v>272668.95</v>
      </c>
      <c r="G13" s="10">
        <v>227267</v>
      </c>
      <c r="H13">
        <v>2110</v>
      </c>
      <c r="I13" s="6" t="s">
        <v>91</v>
      </c>
      <c r="J13">
        <v>125852.63</v>
      </c>
      <c r="L13" s="11">
        <v>96530.11</v>
      </c>
      <c r="M13" s="4">
        <v>6</v>
      </c>
      <c r="Q13" t="s">
        <v>74</v>
      </c>
      <c r="S13" s="6" t="s">
        <v>75</v>
      </c>
      <c r="T13">
        <v>2015</v>
      </c>
      <c r="V13" s="4" t="s">
        <v>100</v>
      </c>
    </row>
    <row r="14" spans="1:22">
      <c r="A14">
        <v>2015</v>
      </c>
      <c r="B14" s="6" t="s">
        <v>77</v>
      </c>
      <c r="C14">
        <v>2000</v>
      </c>
      <c r="D14" s="6" t="s">
        <v>90</v>
      </c>
      <c r="E14">
        <v>272668.95</v>
      </c>
      <c r="G14" s="5">
        <v>227267</v>
      </c>
      <c r="H14">
        <v>2610</v>
      </c>
      <c r="I14" s="6" t="s">
        <v>97</v>
      </c>
      <c r="J14">
        <v>79191.820000000007</v>
      </c>
      <c r="L14" s="11">
        <v>108743.06</v>
      </c>
      <c r="M14" s="4">
        <v>7</v>
      </c>
      <c r="Q14" t="s">
        <v>74</v>
      </c>
      <c r="R14" s="13"/>
      <c r="S14" s="6" t="s">
        <v>75</v>
      </c>
      <c r="T14">
        <v>2015</v>
      </c>
      <c r="U14" s="13"/>
    </row>
    <row r="15" spans="1:22">
      <c r="A15">
        <v>2015</v>
      </c>
      <c r="B15" s="6" t="s">
        <v>77</v>
      </c>
      <c r="C15">
        <v>2000</v>
      </c>
      <c r="D15" s="6" t="s">
        <v>90</v>
      </c>
      <c r="E15">
        <v>272668.95</v>
      </c>
      <c r="G15" s="5">
        <v>227267</v>
      </c>
      <c r="H15">
        <v>2900</v>
      </c>
      <c r="I15" s="6" t="s">
        <v>99</v>
      </c>
      <c r="J15" s="5">
        <v>67624.5</v>
      </c>
      <c r="L15" s="11">
        <v>21373.63</v>
      </c>
      <c r="M15" s="4">
        <v>8</v>
      </c>
      <c r="Q15" t="s">
        <v>74</v>
      </c>
      <c r="S15" s="6" t="s">
        <v>75</v>
      </c>
      <c r="T15">
        <v>2015</v>
      </c>
    </row>
    <row r="16" spans="1:22">
      <c r="A16">
        <v>2015</v>
      </c>
      <c r="B16" s="6" t="s">
        <v>77</v>
      </c>
      <c r="C16">
        <v>3000</v>
      </c>
      <c r="D16" s="6" t="s">
        <v>107</v>
      </c>
      <c r="E16">
        <v>972794.52</v>
      </c>
      <c r="G16" s="5">
        <v>740372</v>
      </c>
      <c r="H16">
        <v>3110</v>
      </c>
      <c r="I16" s="6" t="s">
        <v>108</v>
      </c>
      <c r="J16" s="5">
        <v>196650</v>
      </c>
      <c r="L16" s="11">
        <v>151219.72</v>
      </c>
      <c r="M16" s="4">
        <v>9</v>
      </c>
      <c r="Q16" t="s">
        <v>74</v>
      </c>
      <c r="S16" s="6" t="s">
        <v>75</v>
      </c>
      <c r="T16">
        <v>2015</v>
      </c>
    </row>
    <row r="17" spans="1:20">
      <c r="A17">
        <v>2015</v>
      </c>
      <c r="B17" s="6" t="s">
        <v>77</v>
      </c>
      <c r="C17">
        <v>3000</v>
      </c>
      <c r="D17" s="6" t="s">
        <v>107</v>
      </c>
      <c r="E17">
        <v>972794.52</v>
      </c>
      <c r="G17" s="5">
        <v>740372</v>
      </c>
      <c r="H17">
        <v>3220</v>
      </c>
      <c r="I17" s="6" t="s">
        <v>114</v>
      </c>
      <c r="J17">
        <v>342631.41</v>
      </c>
      <c r="L17" s="11">
        <v>328715.03999999998</v>
      </c>
      <c r="M17" s="4">
        <v>10</v>
      </c>
      <c r="Q17" t="s">
        <v>74</v>
      </c>
      <c r="R17" s="4" t="s">
        <v>73</v>
      </c>
      <c r="S17" s="6" t="s">
        <v>75</v>
      </c>
      <c r="T17">
        <v>2015</v>
      </c>
    </row>
    <row r="18" spans="1:20">
      <c r="A18">
        <v>2015</v>
      </c>
      <c r="B18" s="6" t="s">
        <v>77</v>
      </c>
      <c r="C18">
        <v>3000</v>
      </c>
      <c r="D18" s="6" t="s">
        <v>107</v>
      </c>
      <c r="E18">
        <v>972794.52</v>
      </c>
      <c r="G18" s="5">
        <v>740372</v>
      </c>
      <c r="H18">
        <v>3310</v>
      </c>
      <c r="I18" s="6" t="s">
        <v>117</v>
      </c>
      <c r="J18">
        <v>43803.21</v>
      </c>
      <c r="L18" s="11">
        <v>63287.08</v>
      </c>
      <c r="M18" s="4">
        <v>11</v>
      </c>
      <c r="Q18" t="s">
        <v>74</v>
      </c>
      <c r="S18" s="6" t="s">
        <v>75</v>
      </c>
      <c r="T18">
        <v>2015</v>
      </c>
    </row>
    <row r="19" spans="1:20">
      <c r="A19">
        <v>2015</v>
      </c>
      <c r="B19" s="6" t="s">
        <v>77</v>
      </c>
      <c r="C19">
        <v>3000</v>
      </c>
      <c r="D19" s="6" t="s">
        <v>107</v>
      </c>
      <c r="E19">
        <v>972794.52</v>
      </c>
      <c r="G19" s="5">
        <v>740372</v>
      </c>
      <c r="H19">
        <v>3410</v>
      </c>
      <c r="I19" s="6" t="s">
        <v>123</v>
      </c>
      <c r="J19" s="5">
        <v>26400</v>
      </c>
      <c r="L19" s="11">
        <v>4439.92</v>
      </c>
      <c r="M19" s="4">
        <v>12</v>
      </c>
      <c r="Q19" t="s">
        <v>74</v>
      </c>
      <c r="S19" s="6" t="s">
        <v>75</v>
      </c>
      <c r="T19">
        <v>2015</v>
      </c>
    </row>
    <row r="20" spans="1:20">
      <c r="A20">
        <v>2015</v>
      </c>
      <c r="B20" s="6" t="s">
        <v>77</v>
      </c>
      <c r="C20">
        <v>3000</v>
      </c>
      <c r="D20" s="6" t="s">
        <v>107</v>
      </c>
      <c r="E20">
        <v>972794.52</v>
      </c>
      <c r="G20" s="5">
        <v>740372</v>
      </c>
      <c r="H20">
        <v>3500</v>
      </c>
      <c r="I20" s="6" t="s">
        <v>126</v>
      </c>
      <c r="J20">
        <v>57012.52</v>
      </c>
      <c r="L20" s="11">
        <v>20772.759999999998</v>
      </c>
      <c r="M20" s="4">
        <v>13</v>
      </c>
      <c r="Q20" t="s">
        <v>74</v>
      </c>
      <c r="S20" s="6" t="s">
        <v>75</v>
      </c>
      <c r="T20">
        <v>2015</v>
      </c>
    </row>
    <row r="21" spans="1:20">
      <c r="A21">
        <v>2015</v>
      </c>
      <c r="B21" s="6" t="s">
        <v>77</v>
      </c>
      <c r="C21">
        <v>3000</v>
      </c>
      <c r="D21" s="6" t="s">
        <v>107</v>
      </c>
      <c r="E21">
        <v>972794.52</v>
      </c>
      <c r="G21" s="5">
        <v>740372</v>
      </c>
      <c r="H21">
        <v>3610</v>
      </c>
      <c r="I21" s="6" t="s">
        <v>133</v>
      </c>
      <c r="J21">
        <v>40642.47</v>
      </c>
      <c r="L21" s="11">
        <v>9767</v>
      </c>
      <c r="M21" s="4">
        <v>14</v>
      </c>
      <c r="Q21" t="s">
        <v>74</v>
      </c>
      <c r="S21" s="6" t="s">
        <v>75</v>
      </c>
      <c r="T21">
        <v>2015</v>
      </c>
    </row>
    <row r="22" spans="1:20">
      <c r="A22">
        <v>2015</v>
      </c>
      <c r="B22" s="6" t="s">
        <v>77</v>
      </c>
      <c r="C22">
        <v>3000</v>
      </c>
      <c r="D22" s="6" t="s">
        <v>107</v>
      </c>
      <c r="E22">
        <v>972794.52</v>
      </c>
      <c r="G22" s="5">
        <v>740372</v>
      </c>
      <c r="H22">
        <v>3750</v>
      </c>
      <c r="I22" s="6" t="s">
        <v>135</v>
      </c>
      <c r="J22" s="5">
        <v>93750</v>
      </c>
      <c r="L22" s="11">
        <v>24312.81</v>
      </c>
      <c r="M22" s="4">
        <v>15</v>
      </c>
      <c r="Q22" t="s">
        <v>74</v>
      </c>
      <c r="S22" s="6" t="s">
        <v>75</v>
      </c>
      <c r="T22">
        <v>2015</v>
      </c>
    </row>
    <row r="23" spans="1:20">
      <c r="A23">
        <v>2015</v>
      </c>
      <c r="B23" s="6" t="s">
        <v>77</v>
      </c>
      <c r="C23">
        <v>3000</v>
      </c>
      <c r="D23" s="6" t="s">
        <v>107</v>
      </c>
      <c r="E23">
        <v>972794.52</v>
      </c>
      <c r="G23" s="5">
        <v>740372</v>
      </c>
      <c r="H23">
        <v>3820</v>
      </c>
      <c r="I23" s="6" t="s">
        <v>138</v>
      </c>
      <c r="J23" s="6">
        <v>75000</v>
      </c>
      <c r="L23" s="11">
        <v>54480.27</v>
      </c>
      <c r="M23" s="4">
        <v>16</v>
      </c>
      <c r="Q23" t="s">
        <v>74</v>
      </c>
      <c r="S23" s="6" t="s">
        <v>75</v>
      </c>
      <c r="T23">
        <v>2015</v>
      </c>
    </row>
    <row r="24" spans="1:20">
      <c r="A24">
        <v>2015</v>
      </c>
      <c r="B24" s="6" t="s">
        <v>77</v>
      </c>
      <c r="C24">
        <v>3000</v>
      </c>
      <c r="D24" s="6" t="s">
        <v>107</v>
      </c>
      <c r="E24">
        <v>972794.52</v>
      </c>
      <c r="G24" s="5">
        <v>740372</v>
      </c>
      <c r="H24">
        <v>3960</v>
      </c>
      <c r="I24" s="6" t="s">
        <v>141</v>
      </c>
      <c r="J24">
        <v>96904.89</v>
      </c>
      <c r="L24" s="11">
        <v>82976.850000000006</v>
      </c>
      <c r="M24" s="4">
        <v>17</v>
      </c>
      <c r="Q24" t="s">
        <v>74</v>
      </c>
      <c r="S24" s="6" t="s">
        <v>75</v>
      </c>
      <c r="T24">
        <v>2015</v>
      </c>
    </row>
    <row r="25" spans="1:20">
      <c r="A25">
        <v>2015</v>
      </c>
      <c r="B25" s="6" t="s">
        <v>145</v>
      </c>
      <c r="C25">
        <v>1000</v>
      </c>
      <c r="D25" t="s">
        <v>71</v>
      </c>
      <c r="E25">
        <v>4564502.09</v>
      </c>
      <c r="G25" s="5">
        <v>4317880.38</v>
      </c>
      <c r="H25">
        <v>1130</v>
      </c>
      <c r="I25" s="6" t="s">
        <v>72</v>
      </c>
      <c r="J25">
        <v>1631210.8199999998</v>
      </c>
      <c r="L25">
        <f>3080990.46-1542752.95</f>
        <v>1538237.51</v>
      </c>
      <c r="M25" s="4">
        <v>18</v>
      </c>
      <c r="Q25" t="s">
        <v>74</v>
      </c>
      <c r="S25" s="6" t="s">
        <v>75</v>
      </c>
      <c r="T25">
        <v>2015</v>
      </c>
    </row>
    <row r="26" spans="1:20">
      <c r="A26">
        <v>2015</v>
      </c>
      <c r="B26" s="6" t="s">
        <v>145</v>
      </c>
      <c r="C26">
        <v>1000</v>
      </c>
      <c r="D26" t="s">
        <v>71</v>
      </c>
      <c r="E26">
        <v>4564502.09</v>
      </c>
      <c r="G26" s="5">
        <v>4317880.38</v>
      </c>
      <c r="H26">
        <v>1340</v>
      </c>
      <c r="I26" s="6" t="s">
        <v>76</v>
      </c>
      <c r="J26">
        <v>2079812.5100000002</v>
      </c>
      <c r="L26">
        <f>4047739.82-2009812.84</f>
        <v>2037926.9799999997</v>
      </c>
      <c r="M26" s="4">
        <v>19</v>
      </c>
      <c r="Q26" t="s">
        <v>74</v>
      </c>
      <c r="S26" s="6" t="s">
        <v>75</v>
      </c>
      <c r="T26">
        <v>2015</v>
      </c>
    </row>
    <row r="27" spans="1:20">
      <c r="A27">
        <v>2015</v>
      </c>
      <c r="B27" s="6" t="s">
        <v>145</v>
      </c>
      <c r="C27">
        <v>1000</v>
      </c>
      <c r="D27" s="4" t="s">
        <v>71</v>
      </c>
      <c r="E27">
        <v>4564502.09</v>
      </c>
      <c r="G27" s="5">
        <v>4317880.38</v>
      </c>
      <c r="H27">
        <v>1410</v>
      </c>
      <c r="I27" s="6" t="s">
        <v>78</v>
      </c>
      <c r="J27">
        <v>326792.68</v>
      </c>
      <c r="K27" s="4" t="s">
        <v>73</v>
      </c>
      <c r="L27">
        <f>730591.12-363143.8</f>
        <v>367447.32</v>
      </c>
      <c r="M27" s="4">
        <v>20</v>
      </c>
      <c r="Q27" t="s">
        <v>74</v>
      </c>
      <c r="S27" s="6" t="s">
        <v>75</v>
      </c>
      <c r="T27">
        <v>2015</v>
      </c>
    </row>
    <row r="28" spans="1:20">
      <c r="A28">
        <v>2015</v>
      </c>
      <c r="B28" s="6" t="s">
        <v>145</v>
      </c>
      <c r="C28">
        <v>1000</v>
      </c>
      <c r="D28" s="6" t="s">
        <v>71</v>
      </c>
      <c r="E28">
        <v>4564502.09</v>
      </c>
      <c r="G28" s="5">
        <v>4317880.38</v>
      </c>
      <c r="H28">
        <v>1590</v>
      </c>
      <c r="I28" s="6" t="s">
        <v>85</v>
      </c>
      <c r="J28" s="5">
        <v>354704</v>
      </c>
      <c r="K28" s="4" t="s">
        <v>73</v>
      </c>
      <c r="L28">
        <f>688565.57-344997</f>
        <v>343568.56999999995</v>
      </c>
      <c r="M28" s="4">
        <v>21</v>
      </c>
      <c r="Q28" t="s">
        <v>74</v>
      </c>
      <c r="S28" s="6" t="s">
        <v>75</v>
      </c>
      <c r="T28">
        <v>2015</v>
      </c>
    </row>
    <row r="29" spans="1:20">
      <c r="A29">
        <v>2015</v>
      </c>
      <c r="B29" s="6" t="s">
        <v>145</v>
      </c>
      <c r="C29">
        <v>1000</v>
      </c>
      <c r="D29" s="6" t="s">
        <v>71</v>
      </c>
      <c r="E29">
        <v>4564502.09</v>
      </c>
      <c r="G29" s="5">
        <v>4317880.38</v>
      </c>
      <c r="H29">
        <v>1710</v>
      </c>
      <c r="I29" s="6" t="s">
        <v>88</v>
      </c>
      <c r="J29">
        <v>171982.08000000002</v>
      </c>
      <c r="L29" s="5">
        <f>75799.2-45099.2</f>
        <v>30700</v>
      </c>
      <c r="M29" s="4">
        <v>22</v>
      </c>
      <c r="Q29" t="s">
        <v>74</v>
      </c>
      <c r="S29" s="6" t="s">
        <v>75</v>
      </c>
      <c r="T29">
        <v>2015</v>
      </c>
    </row>
    <row r="30" spans="1:20">
      <c r="A30">
        <v>2015</v>
      </c>
      <c r="B30" s="6" t="s">
        <v>145</v>
      </c>
      <c r="C30">
        <v>2000</v>
      </c>
      <c r="D30" s="6" t="s">
        <v>90</v>
      </c>
      <c r="E30">
        <v>272668.95</v>
      </c>
      <c r="G30" s="5">
        <f>432414.61-226646.8</f>
        <v>205767.81</v>
      </c>
      <c r="H30">
        <v>2110</v>
      </c>
      <c r="I30" s="6" t="s">
        <v>91</v>
      </c>
      <c r="J30">
        <v>125852.63</v>
      </c>
      <c r="L30">
        <f>182576.26-96530.11</f>
        <v>86046.150000000009</v>
      </c>
      <c r="M30" s="4">
        <v>23</v>
      </c>
      <c r="Q30" t="s">
        <v>74</v>
      </c>
      <c r="S30" s="6" t="s">
        <v>75</v>
      </c>
      <c r="T30">
        <v>2015</v>
      </c>
    </row>
    <row r="31" spans="1:20">
      <c r="A31">
        <v>2015</v>
      </c>
      <c r="B31" s="6" t="s">
        <v>145</v>
      </c>
      <c r="C31">
        <v>2000</v>
      </c>
      <c r="D31" s="6" t="s">
        <v>90</v>
      </c>
      <c r="E31">
        <v>272668.95</v>
      </c>
      <c r="G31" s="5">
        <v>205767.81</v>
      </c>
      <c r="H31">
        <v>2610</v>
      </c>
      <c r="I31" s="6" t="s">
        <v>97</v>
      </c>
      <c r="J31">
        <v>79191.820000000007</v>
      </c>
      <c r="K31" s="4" t="s">
        <v>73</v>
      </c>
      <c r="L31">
        <f>221566.29-108743.06</f>
        <v>112823.23000000001</v>
      </c>
      <c r="M31" s="4">
        <v>24</v>
      </c>
      <c r="Q31" t="s">
        <v>74</v>
      </c>
      <c r="S31" s="6" t="s">
        <v>75</v>
      </c>
      <c r="T31">
        <v>2015</v>
      </c>
    </row>
    <row r="32" spans="1:20">
      <c r="A32">
        <v>2015</v>
      </c>
      <c r="B32" s="6" t="s">
        <v>145</v>
      </c>
      <c r="C32">
        <v>2000</v>
      </c>
      <c r="D32" s="6" t="s">
        <v>90</v>
      </c>
      <c r="E32">
        <v>272668.95</v>
      </c>
      <c r="G32" s="5">
        <v>205767.81</v>
      </c>
      <c r="H32">
        <v>2900</v>
      </c>
      <c r="I32" s="6" t="s">
        <v>99</v>
      </c>
      <c r="J32" s="5">
        <v>67624.5</v>
      </c>
      <c r="L32">
        <f>28272.06-21373.63</f>
        <v>6898.43</v>
      </c>
      <c r="M32" s="4">
        <v>25</v>
      </c>
      <c r="Q32" t="s">
        <v>74</v>
      </c>
      <c r="S32" s="6" t="s">
        <v>75</v>
      </c>
      <c r="T32">
        <v>2015</v>
      </c>
    </row>
    <row r="33" spans="1:21">
      <c r="A33">
        <v>2015</v>
      </c>
      <c r="B33" s="6" t="s">
        <v>145</v>
      </c>
      <c r="C33">
        <v>3000</v>
      </c>
      <c r="D33" s="6" t="s">
        <v>107</v>
      </c>
      <c r="E33">
        <v>972794.52</v>
      </c>
      <c r="G33">
        <f>1433370.53-739971.46</f>
        <v>693399.07000000007</v>
      </c>
      <c r="H33">
        <v>3110</v>
      </c>
      <c r="I33" s="6" t="s">
        <v>108</v>
      </c>
      <c r="J33" s="5">
        <v>196650</v>
      </c>
      <c r="L33">
        <f>322041.03-151219.72</f>
        <v>170821.31000000003</v>
      </c>
      <c r="M33" s="4">
        <v>26</v>
      </c>
      <c r="Q33" t="s">
        <v>74</v>
      </c>
      <c r="S33" s="6" t="s">
        <v>75</v>
      </c>
      <c r="T33">
        <v>2015</v>
      </c>
    </row>
    <row r="34" spans="1:21">
      <c r="A34">
        <v>2015</v>
      </c>
      <c r="B34" s="6" t="s">
        <v>145</v>
      </c>
      <c r="C34">
        <v>3000</v>
      </c>
      <c r="D34" s="6" t="s">
        <v>107</v>
      </c>
      <c r="E34">
        <v>972794.52</v>
      </c>
      <c r="G34" s="5">
        <v>693399.07</v>
      </c>
      <c r="H34">
        <v>3220</v>
      </c>
      <c r="I34" s="6" t="s">
        <v>114</v>
      </c>
      <c r="J34">
        <v>342631.41</v>
      </c>
      <c r="L34" s="4">
        <f>672632.7-328715.04</f>
        <v>343917.66</v>
      </c>
      <c r="M34" s="4">
        <v>27</v>
      </c>
      <c r="Q34" t="s">
        <v>74</v>
      </c>
      <c r="S34" s="6" t="s">
        <v>75</v>
      </c>
      <c r="T34">
        <v>2015</v>
      </c>
    </row>
    <row r="35" spans="1:21">
      <c r="A35">
        <v>2015</v>
      </c>
      <c r="B35" s="6" t="s">
        <v>145</v>
      </c>
      <c r="C35">
        <v>3000</v>
      </c>
      <c r="D35" s="6" t="s">
        <v>107</v>
      </c>
      <c r="E35">
        <v>972794.52</v>
      </c>
      <c r="G35" s="5">
        <v>693399.07</v>
      </c>
      <c r="H35">
        <v>3310</v>
      </c>
      <c r="I35" s="6" t="s">
        <v>117</v>
      </c>
      <c r="J35">
        <v>43803.21</v>
      </c>
      <c r="L35">
        <f>72733.8-63287.08</f>
        <v>9446.7200000000012</v>
      </c>
      <c r="M35" s="4">
        <v>28</v>
      </c>
      <c r="Q35" t="s">
        <v>74</v>
      </c>
      <c r="S35" s="6" t="s">
        <v>75</v>
      </c>
      <c r="T35">
        <v>2015</v>
      </c>
    </row>
    <row r="36" spans="1:21">
      <c r="A36">
        <v>2015</v>
      </c>
      <c r="B36" s="6" t="s">
        <v>145</v>
      </c>
      <c r="C36">
        <v>3000</v>
      </c>
      <c r="D36" s="6" t="s">
        <v>107</v>
      </c>
      <c r="E36">
        <v>972794.52</v>
      </c>
      <c r="G36" s="5">
        <v>693399.07</v>
      </c>
      <c r="H36">
        <v>3410</v>
      </c>
      <c r="I36" s="6" t="s">
        <v>123</v>
      </c>
      <c r="J36" s="5">
        <v>26400</v>
      </c>
      <c r="L36">
        <f>8674.4-4439.92</f>
        <v>4234.4799999999996</v>
      </c>
      <c r="M36" s="4">
        <v>29</v>
      </c>
      <c r="Q36" t="s">
        <v>74</v>
      </c>
      <c r="S36" s="6" t="s">
        <v>75</v>
      </c>
      <c r="T36">
        <v>2015</v>
      </c>
    </row>
    <row r="37" spans="1:21">
      <c r="A37">
        <v>2015</v>
      </c>
      <c r="B37" s="6" t="s">
        <v>145</v>
      </c>
      <c r="C37">
        <v>3000</v>
      </c>
      <c r="D37" s="6" t="s">
        <v>107</v>
      </c>
      <c r="E37">
        <v>972794.52</v>
      </c>
      <c r="G37" s="5">
        <v>693399.07</v>
      </c>
      <c r="H37">
        <v>3500</v>
      </c>
      <c r="I37" s="6" t="s">
        <v>126</v>
      </c>
      <c r="J37">
        <v>57012.52</v>
      </c>
      <c r="L37">
        <f>45009.77-20772.76</f>
        <v>24237.01</v>
      </c>
      <c r="M37" s="4">
        <v>30</v>
      </c>
      <c r="Q37" t="s">
        <v>74</v>
      </c>
      <c r="S37" s="6" t="s">
        <v>75</v>
      </c>
      <c r="T37">
        <v>2015</v>
      </c>
    </row>
    <row r="38" spans="1:21">
      <c r="A38">
        <v>2015</v>
      </c>
      <c r="B38" s="6" t="s">
        <v>145</v>
      </c>
      <c r="C38">
        <v>3000</v>
      </c>
      <c r="D38" s="6" t="s">
        <v>107</v>
      </c>
      <c r="E38">
        <v>972794.52</v>
      </c>
      <c r="G38" s="5">
        <v>693399.07</v>
      </c>
      <c r="H38">
        <v>3610</v>
      </c>
      <c r="I38" s="6" t="s">
        <v>133</v>
      </c>
      <c r="J38">
        <v>40642.47</v>
      </c>
      <c r="L38" s="5">
        <f>13417-9767</f>
        <v>3650</v>
      </c>
      <c r="M38" s="4">
        <v>31</v>
      </c>
      <c r="Q38" t="s">
        <v>74</v>
      </c>
      <c r="S38" s="6" t="s">
        <v>75</v>
      </c>
      <c r="T38">
        <v>2015</v>
      </c>
    </row>
    <row r="39" spans="1:21">
      <c r="A39">
        <v>2015</v>
      </c>
      <c r="B39" s="6" t="s">
        <v>145</v>
      </c>
      <c r="C39">
        <v>3000</v>
      </c>
      <c r="D39" s="6" t="s">
        <v>107</v>
      </c>
      <c r="E39">
        <v>972794.52</v>
      </c>
      <c r="G39" s="5">
        <v>693399.07</v>
      </c>
      <c r="H39">
        <v>3750</v>
      </c>
      <c r="I39" s="6" t="s">
        <v>146</v>
      </c>
      <c r="J39" s="5">
        <v>93750</v>
      </c>
      <c r="L39">
        <f>57648.2-24312.81</f>
        <v>33335.39</v>
      </c>
      <c r="M39" s="4">
        <v>32</v>
      </c>
      <c r="Q39" t="s">
        <v>74</v>
      </c>
      <c r="S39" s="6" t="s">
        <v>75</v>
      </c>
      <c r="T39">
        <v>2015</v>
      </c>
    </row>
    <row r="40" spans="1:21">
      <c r="A40">
        <v>2015</v>
      </c>
      <c r="B40" s="6" t="s">
        <v>145</v>
      </c>
      <c r="C40">
        <v>3000</v>
      </c>
      <c r="D40" s="6" t="s">
        <v>107</v>
      </c>
      <c r="E40">
        <v>972794.52</v>
      </c>
      <c r="G40" s="5">
        <v>693399.07</v>
      </c>
      <c r="H40">
        <v>3820</v>
      </c>
      <c r="I40" s="6" t="s">
        <v>138</v>
      </c>
      <c r="J40" s="5">
        <v>75000</v>
      </c>
      <c r="L40">
        <f>77211.4-54480.27</f>
        <v>22731.129999999997</v>
      </c>
      <c r="M40" s="4">
        <v>33</v>
      </c>
      <c r="Q40" t="s">
        <v>74</v>
      </c>
      <c r="S40" s="6" t="s">
        <v>75</v>
      </c>
      <c r="T40">
        <v>2015</v>
      </c>
    </row>
    <row r="41" spans="1:21">
      <c r="A41">
        <v>2015</v>
      </c>
      <c r="B41" s="6" t="s">
        <v>145</v>
      </c>
      <c r="C41">
        <v>3000</v>
      </c>
      <c r="D41" s="6" t="s">
        <v>107</v>
      </c>
      <c r="E41">
        <v>972794.52</v>
      </c>
      <c r="G41" s="5">
        <v>693399.07</v>
      </c>
      <c r="H41">
        <v>3960</v>
      </c>
      <c r="I41" s="6" t="s">
        <v>141</v>
      </c>
      <c r="J41">
        <v>96904.89</v>
      </c>
      <c r="L41">
        <f>164002.23-82976.85</f>
        <v>81025.38</v>
      </c>
      <c r="M41" s="4">
        <v>34</v>
      </c>
      <c r="Q41" t="s">
        <v>74</v>
      </c>
      <c r="S41" s="6" t="s">
        <v>75</v>
      </c>
      <c r="T41">
        <v>2015</v>
      </c>
      <c r="U41" s="4" t="s">
        <v>73</v>
      </c>
    </row>
    <row r="42" spans="1:21">
      <c r="A42">
        <v>2015</v>
      </c>
      <c r="B42" s="6" t="s">
        <v>147</v>
      </c>
      <c r="C42">
        <v>1000</v>
      </c>
      <c r="D42" s="6" t="s">
        <v>71</v>
      </c>
      <c r="E42">
        <v>5642455.8700000001</v>
      </c>
      <c r="G42">
        <f>13977598.68-8623686.17</f>
        <v>5353912.51</v>
      </c>
      <c r="H42">
        <v>1130</v>
      </c>
      <c r="I42" s="6" t="s">
        <v>72</v>
      </c>
      <c r="J42">
        <v>1991682.0199999998</v>
      </c>
      <c r="L42">
        <f>4818472.64-3080990.46</f>
        <v>1737482.1799999997</v>
      </c>
      <c r="M42" s="4">
        <v>35</v>
      </c>
      <c r="Q42" t="s">
        <v>74</v>
      </c>
      <c r="S42" s="6" t="s">
        <v>75</v>
      </c>
      <c r="T42">
        <v>2015</v>
      </c>
    </row>
    <row r="43" spans="1:21">
      <c r="A43">
        <v>2015</v>
      </c>
      <c r="B43" s="6" t="s">
        <v>147</v>
      </c>
      <c r="C43">
        <v>1000</v>
      </c>
      <c r="D43" s="6" t="s">
        <v>71</v>
      </c>
      <c r="E43">
        <v>5642455.8700000001</v>
      </c>
      <c r="G43" s="5">
        <v>5353912.51</v>
      </c>
      <c r="H43">
        <v>1340</v>
      </c>
      <c r="I43" t="s">
        <v>76</v>
      </c>
      <c r="J43" s="5">
        <v>2804795.1</v>
      </c>
      <c r="L43">
        <f>6799509.15-4047739.82</f>
        <v>2751769.3300000005</v>
      </c>
      <c r="M43" s="4">
        <v>36</v>
      </c>
      <c r="Q43" t="s">
        <v>74</v>
      </c>
      <c r="S43" s="6" t="s">
        <v>75</v>
      </c>
      <c r="T43">
        <v>2015</v>
      </c>
    </row>
    <row r="44" spans="1:21">
      <c r="A44">
        <v>2015</v>
      </c>
      <c r="B44" s="6" t="s">
        <v>147</v>
      </c>
      <c r="C44">
        <v>1000</v>
      </c>
      <c r="D44" s="6" t="s">
        <v>71</v>
      </c>
      <c r="E44">
        <v>5642455.8700000001</v>
      </c>
      <c r="G44" s="5">
        <v>5353912.51</v>
      </c>
      <c r="H44">
        <v>1410</v>
      </c>
      <c r="I44" s="4" t="s">
        <v>78</v>
      </c>
      <c r="J44">
        <v>326792.68</v>
      </c>
      <c r="L44">
        <f>1178970.43-730591.12</f>
        <v>448379.30999999994</v>
      </c>
      <c r="M44" s="4">
        <v>37</v>
      </c>
      <c r="Q44" t="s">
        <v>74</v>
      </c>
      <c r="S44" s="6" t="s">
        <v>75</v>
      </c>
      <c r="T44">
        <v>2015</v>
      </c>
    </row>
    <row r="45" spans="1:21">
      <c r="A45">
        <v>2015</v>
      </c>
      <c r="B45" s="6" t="s">
        <v>147</v>
      </c>
      <c r="C45">
        <v>1000</v>
      </c>
      <c r="D45" s="6" t="s">
        <v>71</v>
      </c>
      <c r="E45">
        <v>5642455.8700000001</v>
      </c>
      <c r="G45" s="5">
        <v>5353912.51</v>
      </c>
      <c r="H45">
        <v>1590</v>
      </c>
      <c r="I45" s="6" t="s">
        <v>85</v>
      </c>
      <c r="J45" s="5">
        <v>347204</v>
      </c>
      <c r="L45">
        <f>1062235.07-688565.57</f>
        <v>373669.50000000012</v>
      </c>
      <c r="M45" s="4">
        <v>38</v>
      </c>
      <c r="Q45" t="s">
        <v>74</v>
      </c>
      <c r="S45" s="6" t="s">
        <v>75</v>
      </c>
      <c r="T45">
        <v>2015</v>
      </c>
    </row>
    <row r="46" spans="1:21">
      <c r="A46">
        <v>2015</v>
      </c>
      <c r="B46" s="6" t="s">
        <v>147</v>
      </c>
      <c r="C46">
        <v>1000</v>
      </c>
      <c r="D46" s="6" t="s">
        <v>71</v>
      </c>
      <c r="E46">
        <v>5642455.8700000001</v>
      </c>
      <c r="G46" s="5">
        <v>5353912.51</v>
      </c>
      <c r="H46">
        <v>1710</v>
      </c>
      <c r="I46" s="6" t="s">
        <v>88</v>
      </c>
      <c r="J46">
        <v>171982.08000000002</v>
      </c>
      <c r="K46" s="11" t="s">
        <v>73</v>
      </c>
      <c r="L46">
        <f>118411.39-75799.2</f>
        <v>42612.19</v>
      </c>
      <c r="M46" s="4">
        <v>39</v>
      </c>
      <c r="Q46" t="s">
        <v>74</v>
      </c>
      <c r="S46" s="6" t="s">
        <v>75</v>
      </c>
      <c r="T46">
        <v>2015</v>
      </c>
    </row>
    <row r="47" spans="1:21">
      <c r="A47">
        <v>2015</v>
      </c>
      <c r="B47" s="6" t="s">
        <v>147</v>
      </c>
      <c r="C47">
        <v>2000</v>
      </c>
      <c r="D47" s="6" t="s">
        <v>90</v>
      </c>
      <c r="E47">
        <v>272668.95</v>
      </c>
      <c r="G47">
        <f>618706.68-432414.61</f>
        <v>186292.07000000007</v>
      </c>
      <c r="H47">
        <v>2110</v>
      </c>
      <c r="I47" s="6" t="s">
        <v>91</v>
      </c>
      <c r="J47">
        <v>125852.63</v>
      </c>
      <c r="L47">
        <f>247332.38-182576.26</f>
        <v>64756.119999999995</v>
      </c>
      <c r="M47" s="4">
        <v>40</v>
      </c>
      <c r="Q47" t="s">
        <v>74</v>
      </c>
      <c r="S47" s="6" t="s">
        <v>75</v>
      </c>
      <c r="T47">
        <v>2015</v>
      </c>
    </row>
    <row r="48" spans="1:21">
      <c r="A48">
        <v>2015</v>
      </c>
      <c r="B48" s="6" t="s">
        <v>147</v>
      </c>
      <c r="C48">
        <v>2000</v>
      </c>
      <c r="D48" s="6" t="s">
        <v>90</v>
      </c>
      <c r="E48">
        <v>272668.95</v>
      </c>
      <c r="G48" s="5">
        <v>186292.07</v>
      </c>
      <c r="H48">
        <v>2610</v>
      </c>
      <c r="I48" s="6" t="s">
        <v>97</v>
      </c>
      <c r="J48">
        <v>79191.820000000007</v>
      </c>
      <c r="L48">
        <f>321939.02-221566.29</f>
        <v>100372.73000000001</v>
      </c>
      <c r="M48" s="4">
        <v>41</v>
      </c>
      <c r="Q48" t="s">
        <v>74</v>
      </c>
      <c r="S48" s="6" t="s">
        <v>75</v>
      </c>
      <c r="T48">
        <v>2015</v>
      </c>
    </row>
    <row r="49" spans="1:20">
      <c r="A49">
        <v>2015</v>
      </c>
      <c r="B49" s="6" t="s">
        <v>147</v>
      </c>
      <c r="C49">
        <v>2000</v>
      </c>
      <c r="D49" s="6" t="s">
        <v>90</v>
      </c>
      <c r="E49">
        <v>272668.95</v>
      </c>
      <c r="G49" s="5">
        <v>186292.07</v>
      </c>
      <c r="H49">
        <v>2900</v>
      </c>
      <c r="I49" s="6" t="s">
        <v>99</v>
      </c>
      <c r="J49" s="5">
        <v>67624.5</v>
      </c>
      <c r="L49">
        <f>49435.28-28272.06</f>
        <v>21163.219999999998</v>
      </c>
      <c r="M49" s="4">
        <v>42</v>
      </c>
      <c r="Q49" t="s">
        <v>74</v>
      </c>
      <c r="S49" s="6" t="s">
        <v>75</v>
      </c>
      <c r="T49">
        <v>2015</v>
      </c>
    </row>
    <row r="50" spans="1:20">
      <c r="A50">
        <v>2015</v>
      </c>
      <c r="B50" s="6" t="s">
        <v>147</v>
      </c>
      <c r="C50">
        <v>3000</v>
      </c>
      <c r="D50" s="6" t="s">
        <v>107</v>
      </c>
      <c r="E50">
        <v>972794.52</v>
      </c>
      <c r="G50">
        <f>2277766.19-1433370.53</f>
        <v>844395.65999999992</v>
      </c>
      <c r="H50">
        <v>3110</v>
      </c>
      <c r="I50" s="6" t="s">
        <v>108</v>
      </c>
      <c r="J50" s="5">
        <v>196650</v>
      </c>
      <c r="L50">
        <f>528441.26-322041.03</f>
        <v>206400.22999999998</v>
      </c>
      <c r="M50" s="4">
        <v>43</v>
      </c>
      <c r="Q50" t="s">
        <v>74</v>
      </c>
      <c r="S50" s="6" t="s">
        <v>75</v>
      </c>
      <c r="T50">
        <v>2015</v>
      </c>
    </row>
    <row r="51" spans="1:20">
      <c r="A51">
        <v>2015</v>
      </c>
      <c r="B51" s="6" t="s">
        <v>147</v>
      </c>
      <c r="C51">
        <v>3000</v>
      </c>
      <c r="D51" s="6" t="s">
        <v>107</v>
      </c>
      <c r="E51">
        <v>972794.52</v>
      </c>
      <c r="G51" s="5">
        <v>844395.66</v>
      </c>
      <c r="H51">
        <v>3220</v>
      </c>
      <c r="I51" s="6" t="s">
        <v>114</v>
      </c>
      <c r="J51">
        <v>342631.41</v>
      </c>
      <c r="L51">
        <f>987722.12-672632.7</f>
        <v>315089.42000000004</v>
      </c>
      <c r="M51" s="4">
        <v>44</v>
      </c>
      <c r="Q51" t="s">
        <v>74</v>
      </c>
      <c r="S51" s="6" t="s">
        <v>75</v>
      </c>
      <c r="T51">
        <v>2015</v>
      </c>
    </row>
    <row r="52" spans="1:20">
      <c r="A52">
        <v>2015</v>
      </c>
      <c r="B52" s="6" t="s">
        <v>147</v>
      </c>
      <c r="C52">
        <v>3000</v>
      </c>
      <c r="D52" s="6" t="s">
        <v>107</v>
      </c>
      <c r="E52">
        <v>972794.52</v>
      </c>
      <c r="G52" s="5">
        <v>844395.66</v>
      </c>
      <c r="H52">
        <v>3310</v>
      </c>
      <c r="I52" s="6" t="s">
        <v>117</v>
      </c>
      <c r="J52">
        <v>43803.21</v>
      </c>
      <c r="L52">
        <f>113172.08-72733.8</f>
        <v>40438.28</v>
      </c>
      <c r="M52" s="4">
        <v>45</v>
      </c>
      <c r="Q52" t="s">
        <v>74</v>
      </c>
      <c r="S52" s="6" t="s">
        <v>75</v>
      </c>
      <c r="T52">
        <v>2015</v>
      </c>
    </row>
    <row r="53" spans="1:20">
      <c r="A53">
        <v>2015</v>
      </c>
      <c r="B53" s="6" t="s">
        <v>147</v>
      </c>
      <c r="C53">
        <v>3000</v>
      </c>
      <c r="D53" s="6" t="s">
        <v>107</v>
      </c>
      <c r="E53">
        <v>972794.52</v>
      </c>
      <c r="G53" s="5">
        <v>844395.66</v>
      </c>
      <c r="H53">
        <v>3410</v>
      </c>
      <c r="I53" s="6" t="s">
        <v>123</v>
      </c>
      <c r="J53" s="7">
        <v>26400</v>
      </c>
      <c r="L53">
        <f>52042.02-8674.4</f>
        <v>43367.619999999995</v>
      </c>
      <c r="M53" s="4">
        <v>46</v>
      </c>
      <c r="Q53" t="s">
        <v>74</v>
      </c>
      <c r="S53" s="6" t="s">
        <v>75</v>
      </c>
      <c r="T53">
        <v>2015</v>
      </c>
    </row>
    <row r="54" spans="1:20">
      <c r="A54">
        <v>2015</v>
      </c>
      <c r="B54" s="6" t="s">
        <v>147</v>
      </c>
      <c r="C54">
        <v>3000</v>
      </c>
      <c r="D54" s="6" t="s">
        <v>107</v>
      </c>
      <c r="E54">
        <v>972794.52</v>
      </c>
      <c r="G54" s="5">
        <v>844395.66</v>
      </c>
      <c r="H54">
        <v>3500</v>
      </c>
      <c r="I54" s="6" t="s">
        <v>126</v>
      </c>
      <c r="J54">
        <v>57012.52</v>
      </c>
      <c r="L54">
        <f>92104.88-45009.77</f>
        <v>47095.110000000008</v>
      </c>
      <c r="M54" s="4">
        <v>47</v>
      </c>
      <c r="Q54" t="s">
        <v>74</v>
      </c>
      <c r="S54" s="6" t="s">
        <v>75</v>
      </c>
      <c r="T54">
        <v>2015</v>
      </c>
    </row>
    <row r="55" spans="1:20">
      <c r="A55">
        <v>2015</v>
      </c>
      <c r="B55" s="6" t="s">
        <v>147</v>
      </c>
      <c r="C55">
        <v>3000</v>
      </c>
      <c r="D55" s="6" t="s">
        <v>107</v>
      </c>
      <c r="E55">
        <v>972794.52</v>
      </c>
      <c r="G55" s="5">
        <v>844395.66</v>
      </c>
      <c r="H55">
        <v>3610</v>
      </c>
      <c r="I55" s="6" t="s">
        <v>133</v>
      </c>
      <c r="J55">
        <v>40642.47</v>
      </c>
      <c r="L55">
        <f>14931.07-13417</f>
        <v>1514.0699999999997</v>
      </c>
      <c r="M55" s="4">
        <v>48</v>
      </c>
      <c r="Q55" t="s">
        <v>74</v>
      </c>
      <c r="S55" s="6" t="s">
        <v>75</v>
      </c>
      <c r="T55">
        <v>2015</v>
      </c>
    </row>
    <row r="56" spans="1:20">
      <c r="A56">
        <v>2015</v>
      </c>
      <c r="B56" s="6" t="s">
        <v>147</v>
      </c>
      <c r="C56">
        <v>3000</v>
      </c>
      <c r="D56" s="6" t="s">
        <v>107</v>
      </c>
      <c r="E56">
        <v>972794.52</v>
      </c>
      <c r="G56" s="5">
        <v>844395.66</v>
      </c>
      <c r="H56">
        <v>3750</v>
      </c>
      <c r="I56" s="6" t="s">
        <v>146</v>
      </c>
      <c r="J56" s="5">
        <v>93750</v>
      </c>
      <c r="L56" s="5">
        <f>130376.3-57648.2</f>
        <v>72728.100000000006</v>
      </c>
      <c r="M56" s="4">
        <v>49</v>
      </c>
      <c r="Q56" t="s">
        <v>74</v>
      </c>
      <c r="S56" s="6" t="s">
        <v>75</v>
      </c>
      <c r="T56">
        <v>2015</v>
      </c>
    </row>
    <row r="57" spans="1:20">
      <c r="A57">
        <v>2015</v>
      </c>
      <c r="B57" s="6" t="s">
        <v>147</v>
      </c>
      <c r="C57">
        <v>3000</v>
      </c>
      <c r="D57" s="6" t="s">
        <v>107</v>
      </c>
      <c r="E57">
        <v>972794.52</v>
      </c>
      <c r="G57" s="5">
        <v>844395.66</v>
      </c>
      <c r="H57">
        <v>3820</v>
      </c>
      <c r="I57" s="6" t="s">
        <v>138</v>
      </c>
      <c r="J57" s="7">
        <v>75000</v>
      </c>
      <c r="L57" s="5">
        <f>98409.6-77211.4</f>
        <v>21198.200000000012</v>
      </c>
      <c r="M57" s="4">
        <v>50</v>
      </c>
      <c r="Q57" t="s">
        <v>74</v>
      </c>
      <c r="S57" s="6" t="s">
        <v>75</v>
      </c>
      <c r="T57">
        <v>2015</v>
      </c>
    </row>
    <row r="58" spans="1:20">
      <c r="A58">
        <v>2015</v>
      </c>
      <c r="B58" s="6" t="s">
        <v>147</v>
      </c>
      <c r="C58">
        <v>3000</v>
      </c>
      <c r="D58" s="6" t="s">
        <v>107</v>
      </c>
      <c r="E58">
        <v>972794.52</v>
      </c>
      <c r="G58" s="5">
        <v>844395.66</v>
      </c>
      <c r="H58">
        <v>3960</v>
      </c>
      <c r="I58" s="6" t="s">
        <v>141</v>
      </c>
      <c r="J58">
        <v>96904.89</v>
      </c>
      <c r="L58">
        <f>260566.86-164002.23</f>
        <v>96564.629999999976</v>
      </c>
      <c r="M58" s="4">
        <v>51</v>
      </c>
      <c r="Q58" t="s">
        <v>74</v>
      </c>
      <c r="S58" s="6" t="s">
        <v>75</v>
      </c>
      <c r="T58">
        <v>2015</v>
      </c>
    </row>
    <row r="59" spans="1:20">
      <c r="A59">
        <v>2015</v>
      </c>
      <c r="B59" s="6" t="s">
        <v>148</v>
      </c>
      <c r="C59">
        <v>1000</v>
      </c>
      <c r="D59" s="6" t="s">
        <v>71</v>
      </c>
      <c r="E59">
        <v>6747347.7300000004</v>
      </c>
      <c r="F59">
        <v>9930837.6899999995</v>
      </c>
      <c r="G59">
        <f>20923641.05-13977598.68</f>
        <v>6946042.370000001</v>
      </c>
      <c r="H59">
        <v>1130</v>
      </c>
      <c r="I59" s="6" t="s">
        <v>72</v>
      </c>
      <c r="J59">
        <v>1631210.82</v>
      </c>
      <c r="K59">
        <v>1924828.7599999998</v>
      </c>
      <c r="L59" s="4">
        <f>6460692.66-4818472.64</f>
        <v>1642220.0200000005</v>
      </c>
      <c r="M59" s="4">
        <v>52</v>
      </c>
      <c r="Q59" t="s">
        <v>74</v>
      </c>
      <c r="S59" s="6" t="s">
        <v>75</v>
      </c>
      <c r="T59">
        <v>2015</v>
      </c>
    </row>
    <row r="60" spans="1:20">
      <c r="A60">
        <v>2015</v>
      </c>
      <c r="B60" s="6" t="s">
        <v>148</v>
      </c>
      <c r="C60">
        <v>1000</v>
      </c>
      <c r="D60" s="6" t="s">
        <v>71</v>
      </c>
      <c r="E60">
        <v>6747347.7300000004</v>
      </c>
      <c r="F60">
        <v>9930837.6899999995</v>
      </c>
      <c r="G60" s="5">
        <v>6946042.3700000001</v>
      </c>
      <c r="H60">
        <v>1340</v>
      </c>
      <c r="I60" t="s">
        <v>76</v>
      </c>
      <c r="J60">
        <v>4183003.43</v>
      </c>
      <c r="K60">
        <v>6875045.5999999996</v>
      </c>
      <c r="L60">
        <f>10930932.36-6799509.15</f>
        <v>4131423.209999999</v>
      </c>
      <c r="M60" s="4">
        <v>53</v>
      </c>
      <c r="Q60" t="s">
        <v>74</v>
      </c>
      <c r="S60" s="6" t="s">
        <v>75</v>
      </c>
      <c r="T60">
        <v>2015</v>
      </c>
    </row>
    <row r="61" spans="1:20">
      <c r="A61">
        <v>2015</v>
      </c>
      <c r="B61" s="6" t="s">
        <v>148</v>
      </c>
      <c r="C61">
        <v>1000</v>
      </c>
      <c r="D61" s="6" t="s">
        <v>71</v>
      </c>
      <c r="E61">
        <v>6747347.7300000004</v>
      </c>
      <c r="F61">
        <v>9930837.6899999995</v>
      </c>
      <c r="G61" s="5">
        <v>6946042.3700000001</v>
      </c>
      <c r="H61">
        <v>1410</v>
      </c>
      <c r="I61" s="4" t="s">
        <v>78</v>
      </c>
      <c r="J61" s="4">
        <v>326792.68</v>
      </c>
      <c r="K61">
        <v>733161.87</v>
      </c>
      <c r="L61">
        <f>1577811.2-1178970.43</f>
        <v>398840.77</v>
      </c>
      <c r="M61" s="4">
        <v>54</v>
      </c>
      <c r="Q61" t="s">
        <v>74</v>
      </c>
      <c r="S61" s="6" t="s">
        <v>75</v>
      </c>
      <c r="T61">
        <v>2015</v>
      </c>
    </row>
    <row r="62" spans="1:20">
      <c r="A62">
        <v>2015</v>
      </c>
      <c r="B62" s="6" t="s">
        <v>148</v>
      </c>
      <c r="C62">
        <v>1000</v>
      </c>
      <c r="D62" s="6" t="s">
        <v>71</v>
      </c>
      <c r="E62">
        <v>6747347.7300000004</v>
      </c>
      <c r="F62">
        <v>9930837.6899999995</v>
      </c>
      <c r="G62" s="5">
        <v>6946042.3700000001</v>
      </c>
      <c r="H62">
        <v>1590</v>
      </c>
      <c r="I62" s="6" t="s">
        <v>85</v>
      </c>
      <c r="J62" s="5">
        <v>319704</v>
      </c>
      <c r="K62">
        <v>775072.44</v>
      </c>
      <c r="L62">
        <f>1806295.01-1062235.07</f>
        <v>744059.94</v>
      </c>
      <c r="M62" s="4">
        <v>55</v>
      </c>
      <c r="Q62" t="s">
        <v>74</v>
      </c>
      <c r="S62" s="6" t="s">
        <v>75</v>
      </c>
      <c r="T62">
        <v>2015</v>
      </c>
    </row>
    <row r="63" spans="1:20">
      <c r="A63">
        <v>2015</v>
      </c>
      <c r="B63" s="6" t="s">
        <v>148</v>
      </c>
      <c r="C63">
        <v>1000</v>
      </c>
      <c r="D63" s="6" t="s">
        <v>71</v>
      </c>
      <c r="E63">
        <v>6747347.7300000004</v>
      </c>
      <c r="F63">
        <v>9930837.6899999995</v>
      </c>
      <c r="G63" s="5">
        <v>6946042.3700000001</v>
      </c>
      <c r="H63">
        <v>1710</v>
      </c>
      <c r="I63" s="6" t="s">
        <v>88</v>
      </c>
      <c r="J63" s="5">
        <v>286636.80000000005</v>
      </c>
      <c r="K63">
        <v>-377270.98</v>
      </c>
      <c r="L63">
        <f>147909.82-118411.39</f>
        <v>29498.430000000008</v>
      </c>
      <c r="M63" s="4">
        <v>56</v>
      </c>
      <c r="Q63" t="s">
        <v>74</v>
      </c>
      <c r="S63" s="6" t="s">
        <v>75</v>
      </c>
      <c r="T63">
        <v>2015</v>
      </c>
    </row>
    <row r="64" spans="1:20">
      <c r="A64">
        <v>2015</v>
      </c>
      <c r="B64" s="6" t="s">
        <v>148</v>
      </c>
      <c r="C64">
        <v>2000</v>
      </c>
      <c r="D64" s="6" t="s">
        <v>90</v>
      </c>
      <c r="E64">
        <v>272668.95</v>
      </c>
      <c r="F64">
        <v>202668.95</v>
      </c>
      <c r="G64">
        <f>833362.12-618706.68</f>
        <v>214655.43999999994</v>
      </c>
      <c r="H64">
        <v>2110</v>
      </c>
      <c r="I64" s="6" t="s">
        <v>91</v>
      </c>
      <c r="J64">
        <v>125852.63</v>
      </c>
      <c r="K64">
        <v>-20000</v>
      </c>
      <c r="L64">
        <f>346977.66-247332.38</f>
        <v>99645.27999999997</v>
      </c>
      <c r="M64" s="4">
        <v>57</v>
      </c>
      <c r="Q64" t="s">
        <v>74</v>
      </c>
      <c r="S64" s="6" t="s">
        <v>75</v>
      </c>
      <c r="T64">
        <v>2015</v>
      </c>
    </row>
    <row r="65" spans="1:20">
      <c r="A65">
        <v>2015</v>
      </c>
      <c r="B65" s="6" t="s">
        <v>148</v>
      </c>
      <c r="C65">
        <v>2000</v>
      </c>
      <c r="D65" s="6" t="s">
        <v>90</v>
      </c>
      <c r="E65">
        <v>272668.95</v>
      </c>
      <c r="F65">
        <v>202668.95</v>
      </c>
      <c r="G65" s="5">
        <f>833362.12-618706.68</f>
        <v>214655.43999999994</v>
      </c>
      <c r="H65">
        <v>2610</v>
      </c>
      <c r="I65" s="6" t="s">
        <v>97</v>
      </c>
      <c r="J65">
        <v>79191.820000000007</v>
      </c>
      <c r="K65">
        <v>139191.82</v>
      </c>
      <c r="L65">
        <f>431275.95-321939.02</f>
        <v>109336.93</v>
      </c>
      <c r="M65" s="4">
        <v>58</v>
      </c>
      <c r="Q65" t="s">
        <v>74</v>
      </c>
      <c r="S65" s="6" t="s">
        <v>75</v>
      </c>
      <c r="T65">
        <v>2015</v>
      </c>
    </row>
    <row r="66" spans="1:20">
      <c r="A66">
        <v>2015</v>
      </c>
      <c r="B66" s="6" t="s">
        <v>148</v>
      </c>
      <c r="C66">
        <v>2000</v>
      </c>
      <c r="D66" s="6" t="s">
        <v>90</v>
      </c>
      <c r="E66">
        <v>272668.95</v>
      </c>
      <c r="F66">
        <v>202668.95</v>
      </c>
      <c r="G66" s="5">
        <v>214655.44</v>
      </c>
      <c r="H66">
        <v>2900</v>
      </c>
      <c r="I66" s="6" t="s">
        <v>99</v>
      </c>
      <c r="J66" s="5">
        <v>67624.5</v>
      </c>
      <c r="K66">
        <v>-42375.5</v>
      </c>
      <c r="L66">
        <f>55108.51-49435.28</f>
        <v>5673.2300000000032</v>
      </c>
      <c r="M66" s="4">
        <v>59</v>
      </c>
      <c r="Q66" t="s">
        <v>74</v>
      </c>
      <c r="S66" s="6" t="s">
        <v>75</v>
      </c>
      <c r="T66">
        <v>2015</v>
      </c>
    </row>
    <row r="67" spans="1:20">
      <c r="A67">
        <v>2015</v>
      </c>
      <c r="B67" s="6" t="s">
        <v>148</v>
      </c>
      <c r="C67">
        <v>3000</v>
      </c>
      <c r="D67" s="6" t="s">
        <v>149</v>
      </c>
      <c r="E67">
        <v>972794.52</v>
      </c>
      <c r="F67">
        <v>1043710.59</v>
      </c>
      <c r="G67">
        <f>3190548.51-2277766.19</f>
        <v>912782.31999999983</v>
      </c>
      <c r="H67">
        <v>3110</v>
      </c>
      <c r="I67" s="6" t="s">
        <v>108</v>
      </c>
      <c r="J67" s="5">
        <v>196650</v>
      </c>
      <c r="K67">
        <v>227466.34</v>
      </c>
      <c r="L67">
        <f>752994.57-528441.26</f>
        <v>224553.30999999994</v>
      </c>
      <c r="M67" s="4">
        <v>60</v>
      </c>
      <c r="Q67" t="s">
        <v>74</v>
      </c>
      <c r="S67" s="6" t="s">
        <v>75</v>
      </c>
      <c r="T67">
        <v>2015</v>
      </c>
    </row>
    <row r="68" spans="1:20">
      <c r="A68">
        <v>2015</v>
      </c>
      <c r="B68" s="6" t="s">
        <v>148</v>
      </c>
      <c r="C68">
        <v>3000</v>
      </c>
      <c r="D68" s="6" t="s">
        <v>107</v>
      </c>
      <c r="E68">
        <v>972794.52</v>
      </c>
      <c r="F68">
        <v>1043710.59</v>
      </c>
      <c r="G68">
        <v>912782.32</v>
      </c>
      <c r="H68">
        <v>3220</v>
      </c>
      <c r="I68" s="6" t="s">
        <v>114</v>
      </c>
      <c r="J68">
        <v>342631.41</v>
      </c>
      <c r="L68">
        <f>1331968.9-987722.12</f>
        <v>344246.77999999991</v>
      </c>
      <c r="M68" s="4">
        <v>61</v>
      </c>
      <c r="Q68" t="s">
        <v>74</v>
      </c>
      <c r="S68" s="6" t="s">
        <v>75</v>
      </c>
      <c r="T68">
        <v>2015</v>
      </c>
    </row>
    <row r="69" spans="1:20">
      <c r="A69">
        <v>2015</v>
      </c>
      <c r="B69" s="6" t="s">
        <v>148</v>
      </c>
      <c r="C69">
        <v>3000</v>
      </c>
      <c r="D69" s="6" t="s">
        <v>107</v>
      </c>
      <c r="E69">
        <v>972794.52</v>
      </c>
      <c r="F69">
        <v>1043710.59</v>
      </c>
      <c r="G69">
        <v>912782.32</v>
      </c>
      <c r="H69">
        <v>3310</v>
      </c>
      <c r="I69" s="6" t="s">
        <v>117</v>
      </c>
      <c r="J69">
        <v>43803.21</v>
      </c>
      <c r="K69">
        <v>72986.87</v>
      </c>
      <c r="L69">
        <f>121296.81-113172.08</f>
        <v>8124.7299999999959</v>
      </c>
      <c r="M69" s="4">
        <v>62</v>
      </c>
      <c r="Q69" t="s">
        <v>74</v>
      </c>
      <c r="S69" s="6" t="s">
        <v>75</v>
      </c>
      <c r="T69">
        <v>2015</v>
      </c>
    </row>
    <row r="70" spans="1:20">
      <c r="A70">
        <v>2015</v>
      </c>
      <c r="B70" s="6" t="s">
        <v>148</v>
      </c>
      <c r="C70">
        <v>3000</v>
      </c>
      <c r="D70" s="6" t="s">
        <v>107</v>
      </c>
      <c r="E70">
        <v>972794.52</v>
      </c>
      <c r="F70">
        <v>1043710.59</v>
      </c>
      <c r="G70">
        <v>912782.32</v>
      </c>
      <c r="H70">
        <v>3410</v>
      </c>
      <c r="I70" s="6" t="s">
        <v>123</v>
      </c>
      <c r="J70" s="5">
        <v>26400</v>
      </c>
      <c r="L70" s="4">
        <f>61063.85-52042.02</f>
        <v>9021.8300000000017</v>
      </c>
      <c r="M70" s="4">
        <v>63</v>
      </c>
      <c r="Q70" t="s">
        <v>74</v>
      </c>
      <c r="S70" s="6" t="s">
        <v>75</v>
      </c>
      <c r="T70">
        <v>2015</v>
      </c>
    </row>
    <row r="71" spans="1:20">
      <c r="A71">
        <v>2015</v>
      </c>
      <c r="B71" s="6" t="s">
        <v>148</v>
      </c>
      <c r="C71">
        <v>3000</v>
      </c>
      <c r="D71" s="6" t="s">
        <v>107</v>
      </c>
      <c r="E71">
        <v>972794.52</v>
      </c>
      <c r="F71">
        <v>1043710.59</v>
      </c>
      <c r="G71">
        <v>912782.32</v>
      </c>
      <c r="H71">
        <v>3500</v>
      </c>
      <c r="I71" s="6" t="s">
        <v>126</v>
      </c>
      <c r="J71">
        <v>57012.52</v>
      </c>
      <c r="L71">
        <f>110086.18-92104.88</f>
        <v>17981.299999999988</v>
      </c>
      <c r="M71" s="4">
        <v>64</v>
      </c>
      <c r="Q71" t="s">
        <v>74</v>
      </c>
      <c r="S71" s="6" t="s">
        <v>75</v>
      </c>
      <c r="T71">
        <v>2015</v>
      </c>
    </row>
    <row r="72" spans="1:20">
      <c r="A72">
        <v>2015</v>
      </c>
      <c r="B72" s="6" t="s">
        <v>148</v>
      </c>
      <c r="C72">
        <v>3000</v>
      </c>
      <c r="D72" s="6" t="s">
        <v>107</v>
      </c>
      <c r="E72">
        <v>972794.52</v>
      </c>
      <c r="F72">
        <v>1043710.59</v>
      </c>
      <c r="G72">
        <v>912782.32</v>
      </c>
      <c r="H72">
        <v>3610</v>
      </c>
      <c r="I72" s="6" t="s">
        <v>133</v>
      </c>
      <c r="J72">
        <v>40642.47</v>
      </c>
      <c r="L72" s="5">
        <f>23103.07-14931.07</f>
        <v>8172</v>
      </c>
      <c r="M72" s="4">
        <v>65</v>
      </c>
      <c r="Q72" t="s">
        <v>74</v>
      </c>
      <c r="S72" s="6" t="s">
        <v>75</v>
      </c>
      <c r="T72">
        <v>2015</v>
      </c>
    </row>
    <row r="73" spans="1:20">
      <c r="A73">
        <v>2015</v>
      </c>
      <c r="B73" s="6" t="s">
        <v>148</v>
      </c>
      <c r="C73">
        <v>3000</v>
      </c>
      <c r="D73" s="6" t="s">
        <v>107</v>
      </c>
      <c r="E73">
        <v>972794.52</v>
      </c>
      <c r="F73">
        <v>1043710.59</v>
      </c>
      <c r="G73">
        <v>912782.32</v>
      </c>
      <c r="H73">
        <v>3750</v>
      </c>
      <c r="I73" s="6" t="s">
        <v>146</v>
      </c>
      <c r="J73" s="5">
        <v>93750</v>
      </c>
      <c r="L73">
        <f>199846.85-130376.3</f>
        <v>69470.55</v>
      </c>
      <c r="M73" s="4">
        <v>66</v>
      </c>
      <c r="Q73" t="s">
        <v>74</v>
      </c>
      <c r="S73" s="6" t="s">
        <v>75</v>
      </c>
      <c r="T73">
        <v>2015</v>
      </c>
    </row>
    <row r="74" spans="1:20">
      <c r="A74">
        <v>2015</v>
      </c>
      <c r="B74" s="6" t="s">
        <v>148</v>
      </c>
      <c r="C74">
        <v>3000</v>
      </c>
      <c r="D74" s="6" t="s">
        <v>107</v>
      </c>
      <c r="E74">
        <v>972794.52</v>
      </c>
      <c r="F74">
        <v>1043710.59</v>
      </c>
      <c r="G74">
        <v>912782.32</v>
      </c>
      <c r="H74">
        <v>3820</v>
      </c>
      <c r="I74" s="6" t="s">
        <v>138</v>
      </c>
      <c r="J74" s="5">
        <v>75000</v>
      </c>
      <c r="L74">
        <f>207321.93-98409.6</f>
        <v>108912.32999999999</v>
      </c>
      <c r="M74" s="4">
        <v>67</v>
      </c>
      <c r="Q74" t="s">
        <v>74</v>
      </c>
      <c r="S74" s="6" t="s">
        <v>75</v>
      </c>
      <c r="T74">
        <v>2015</v>
      </c>
    </row>
    <row r="75" spans="1:20">
      <c r="A75">
        <v>2015</v>
      </c>
      <c r="B75" s="6" t="s">
        <v>148</v>
      </c>
      <c r="C75">
        <v>3000</v>
      </c>
      <c r="D75" s="6" t="s">
        <v>107</v>
      </c>
      <c r="E75">
        <v>972794.52</v>
      </c>
      <c r="F75">
        <v>1043710.59</v>
      </c>
      <c r="G75">
        <v>912782.32</v>
      </c>
      <c r="H75">
        <v>3960</v>
      </c>
      <c r="I75" s="6" t="s">
        <v>141</v>
      </c>
      <c r="J75">
        <v>96904.89</v>
      </c>
      <c r="K75">
        <v>107820.96</v>
      </c>
      <c r="L75">
        <f>382866.35-260566.86</f>
        <v>122299.48999999999</v>
      </c>
      <c r="M75" s="4">
        <v>68</v>
      </c>
      <c r="Q75" t="s">
        <v>74</v>
      </c>
      <c r="S75" s="6" t="s">
        <v>75</v>
      </c>
      <c r="T75">
        <v>2015</v>
      </c>
    </row>
    <row r="76" spans="1:20">
      <c r="A76">
        <v>2016</v>
      </c>
      <c r="B76" s="15" t="s">
        <v>77</v>
      </c>
      <c r="C76">
        <v>1000</v>
      </c>
      <c r="D76" s="15" t="s">
        <v>71</v>
      </c>
      <c r="E76">
        <v>4690498.09</v>
      </c>
      <c r="G76">
        <v>4472960.7699999996</v>
      </c>
      <c r="H76">
        <v>1130</v>
      </c>
      <c r="I76" t="s">
        <v>72</v>
      </c>
      <c r="J76">
        <v>1680185.4600000002</v>
      </c>
      <c r="L76">
        <v>1580782.77</v>
      </c>
      <c r="M76" s="14">
        <v>69</v>
      </c>
      <c r="Q76" s="20" t="s">
        <v>150</v>
      </c>
      <c r="S76" s="6" t="s">
        <v>75</v>
      </c>
      <c r="T76">
        <v>2016</v>
      </c>
    </row>
    <row r="77" spans="1:20">
      <c r="A77">
        <v>2016</v>
      </c>
      <c r="B77" s="15" t="s">
        <v>77</v>
      </c>
      <c r="C77">
        <v>1000</v>
      </c>
      <c r="D77" s="15" t="s">
        <v>71</v>
      </c>
      <c r="E77">
        <v>4690498.09</v>
      </c>
      <c r="G77">
        <v>4472960.7699999996</v>
      </c>
      <c r="H77">
        <v>1340</v>
      </c>
      <c r="I77" t="s">
        <v>76</v>
      </c>
      <c r="J77">
        <v>2079812.5100000002</v>
      </c>
      <c r="L77">
        <v>2048894.65</v>
      </c>
      <c r="M77" s="14">
        <v>70</v>
      </c>
      <c r="Q77" s="20" t="s">
        <v>150</v>
      </c>
      <c r="S77" s="6" t="s">
        <v>75</v>
      </c>
      <c r="T77">
        <v>2016</v>
      </c>
    </row>
    <row r="78" spans="1:20">
      <c r="A78">
        <v>2016</v>
      </c>
      <c r="B78" s="15" t="s">
        <v>77</v>
      </c>
      <c r="C78">
        <v>1000</v>
      </c>
      <c r="D78" s="15" t="s">
        <v>71</v>
      </c>
      <c r="E78">
        <v>4690498.09</v>
      </c>
      <c r="G78">
        <v>4472960.7699999996</v>
      </c>
      <c r="H78">
        <v>1410</v>
      </c>
      <c r="I78" s="4" t="s">
        <v>78</v>
      </c>
      <c r="J78">
        <v>427692.19</v>
      </c>
      <c r="L78">
        <v>419174.01</v>
      </c>
      <c r="M78" s="14">
        <v>71</v>
      </c>
      <c r="Q78" s="20" t="s">
        <v>150</v>
      </c>
      <c r="S78" s="6" t="s">
        <v>75</v>
      </c>
      <c r="T78">
        <v>2016</v>
      </c>
    </row>
    <row r="79" spans="1:20">
      <c r="A79">
        <v>2016</v>
      </c>
      <c r="B79" s="15" t="s">
        <v>77</v>
      </c>
      <c r="C79">
        <v>1000</v>
      </c>
      <c r="D79" s="15" t="s">
        <v>71</v>
      </c>
      <c r="E79">
        <v>4690498.09</v>
      </c>
      <c r="G79">
        <v>4472960.7699999996</v>
      </c>
      <c r="H79">
        <v>1590</v>
      </c>
      <c r="I79" s="6" t="s">
        <v>85</v>
      </c>
      <c r="J79" s="5">
        <v>381396</v>
      </c>
      <c r="L79" s="5">
        <v>354629.5</v>
      </c>
      <c r="M79" s="14">
        <v>72</v>
      </c>
      <c r="Q79" s="20" t="s">
        <v>150</v>
      </c>
      <c r="S79" s="6" t="s">
        <v>75</v>
      </c>
      <c r="T79">
        <v>2016</v>
      </c>
    </row>
    <row r="80" spans="1:20">
      <c r="A80">
        <v>2016</v>
      </c>
      <c r="B80" s="15" t="s">
        <v>77</v>
      </c>
      <c r="C80">
        <v>1000</v>
      </c>
      <c r="D80" s="15" t="s">
        <v>71</v>
      </c>
      <c r="E80">
        <v>4690498.09</v>
      </c>
      <c r="G80">
        <v>4472960.7699999996</v>
      </c>
      <c r="H80">
        <v>1710</v>
      </c>
      <c r="I80" s="6" t="s">
        <v>88</v>
      </c>
      <c r="J80">
        <v>121411.92</v>
      </c>
      <c r="L80">
        <v>43500.22</v>
      </c>
      <c r="M80" s="14">
        <v>73</v>
      </c>
      <c r="Q80" s="20" t="s">
        <v>150</v>
      </c>
      <c r="S80" s="6" t="s">
        <v>75</v>
      </c>
      <c r="T80">
        <v>2016</v>
      </c>
    </row>
    <row r="81" spans="1:20">
      <c r="A81">
        <v>2016</v>
      </c>
      <c r="B81" s="15" t="s">
        <v>77</v>
      </c>
      <c r="C81">
        <v>2000</v>
      </c>
      <c r="D81" s="15" t="s">
        <v>90</v>
      </c>
      <c r="E81">
        <v>272668.95</v>
      </c>
      <c r="F81">
        <v>252668.95</v>
      </c>
      <c r="G81">
        <v>235004.08</v>
      </c>
      <c r="H81">
        <v>2110</v>
      </c>
      <c r="I81" s="6" t="s">
        <v>91</v>
      </c>
      <c r="J81" s="5">
        <v>94934.7</v>
      </c>
      <c r="L81">
        <v>93061.96</v>
      </c>
      <c r="M81" s="14">
        <v>74</v>
      </c>
      <c r="Q81" s="20" t="s">
        <v>150</v>
      </c>
      <c r="S81" s="6" t="s">
        <v>75</v>
      </c>
      <c r="T81">
        <v>2016</v>
      </c>
    </row>
    <row r="82" spans="1:20">
      <c r="A82">
        <v>2016</v>
      </c>
      <c r="B82" s="15" t="s">
        <v>77</v>
      </c>
      <c r="C82">
        <v>2000</v>
      </c>
      <c r="D82" s="15" t="s">
        <v>90</v>
      </c>
      <c r="E82">
        <v>272668.95</v>
      </c>
      <c r="F82">
        <v>252668.95</v>
      </c>
      <c r="G82">
        <v>235004.08</v>
      </c>
      <c r="H82">
        <v>2610</v>
      </c>
      <c r="I82" s="6" t="s">
        <v>97</v>
      </c>
      <c r="J82" s="16">
        <v>100000</v>
      </c>
      <c r="L82">
        <v>102416.36</v>
      </c>
      <c r="M82" s="14">
        <v>75</v>
      </c>
      <c r="Q82" s="20" t="s">
        <v>150</v>
      </c>
      <c r="S82" s="6" t="s">
        <v>75</v>
      </c>
      <c r="T82">
        <v>2016</v>
      </c>
    </row>
    <row r="83" spans="1:20">
      <c r="A83">
        <v>2016</v>
      </c>
      <c r="B83" s="15" t="s">
        <v>77</v>
      </c>
      <c r="C83">
        <v>2000</v>
      </c>
      <c r="D83" s="15" t="s">
        <v>90</v>
      </c>
      <c r="E83">
        <v>272668.95</v>
      </c>
      <c r="F83">
        <v>252668.95</v>
      </c>
      <c r="G83">
        <v>235004.08</v>
      </c>
      <c r="H83">
        <v>2900</v>
      </c>
      <c r="I83" s="6" t="s">
        <v>99</v>
      </c>
      <c r="J83">
        <v>57734.25</v>
      </c>
      <c r="L83">
        <v>39525.760000000002</v>
      </c>
      <c r="M83" s="14">
        <v>76</v>
      </c>
      <c r="Q83" s="20" t="s">
        <v>150</v>
      </c>
      <c r="S83" s="6" t="s">
        <v>75</v>
      </c>
      <c r="T83">
        <v>2016</v>
      </c>
    </row>
    <row r="84" spans="1:20">
      <c r="A84">
        <v>2016</v>
      </c>
      <c r="B84" s="15" t="s">
        <v>77</v>
      </c>
      <c r="C84">
        <v>3000</v>
      </c>
      <c r="D84" s="15" t="s">
        <v>107</v>
      </c>
      <c r="E84">
        <v>975523.54</v>
      </c>
      <c r="F84">
        <v>995523.54</v>
      </c>
      <c r="G84">
        <v>747264.55</v>
      </c>
      <c r="H84">
        <v>3110</v>
      </c>
      <c r="I84" s="6" t="s">
        <v>108</v>
      </c>
      <c r="J84">
        <v>198039.55</v>
      </c>
      <c r="L84">
        <v>135848.35999999999</v>
      </c>
      <c r="M84" s="14">
        <v>77</v>
      </c>
      <c r="Q84" s="20" t="s">
        <v>150</v>
      </c>
      <c r="S84" s="6" t="s">
        <v>75</v>
      </c>
      <c r="T84">
        <v>2016</v>
      </c>
    </row>
    <row r="85" spans="1:20">
      <c r="A85">
        <v>2016</v>
      </c>
      <c r="B85" s="15" t="s">
        <v>77</v>
      </c>
      <c r="C85">
        <v>3000</v>
      </c>
      <c r="D85" s="15" t="s">
        <v>107</v>
      </c>
      <c r="E85">
        <v>975523.54</v>
      </c>
      <c r="F85">
        <v>995523.54</v>
      </c>
      <c r="G85">
        <v>747264.55</v>
      </c>
      <c r="H85">
        <v>3220</v>
      </c>
      <c r="I85" s="6" t="s">
        <v>114</v>
      </c>
      <c r="J85">
        <v>342631.41</v>
      </c>
      <c r="L85">
        <v>320982.03999999998</v>
      </c>
      <c r="M85" s="14">
        <v>78</v>
      </c>
      <c r="Q85" s="20" t="s">
        <v>150</v>
      </c>
      <c r="S85" s="6" t="s">
        <v>75</v>
      </c>
      <c r="T85">
        <v>2016</v>
      </c>
    </row>
    <row r="86" spans="1:20">
      <c r="A86">
        <v>2016</v>
      </c>
      <c r="B86" s="15" t="s">
        <v>77</v>
      </c>
      <c r="C86">
        <v>3000</v>
      </c>
      <c r="D86" s="15" t="s">
        <v>107</v>
      </c>
      <c r="E86">
        <v>975523.54</v>
      </c>
      <c r="F86">
        <v>995523.54</v>
      </c>
      <c r="G86">
        <v>747264.55</v>
      </c>
      <c r="H86">
        <v>3310</v>
      </c>
      <c r="I86" s="6" t="s">
        <v>117</v>
      </c>
      <c r="J86">
        <v>43803.21</v>
      </c>
      <c r="L86">
        <v>13346.05</v>
      </c>
      <c r="M86" s="14">
        <v>79</v>
      </c>
      <c r="Q86" s="20" t="s">
        <v>150</v>
      </c>
      <c r="S86" s="6" t="s">
        <v>75</v>
      </c>
      <c r="T86">
        <v>2016</v>
      </c>
    </row>
    <row r="87" spans="1:20">
      <c r="A87">
        <v>2016</v>
      </c>
      <c r="B87" s="15" t="s">
        <v>77</v>
      </c>
      <c r="C87">
        <v>3000</v>
      </c>
      <c r="D87" s="15" t="s">
        <v>107</v>
      </c>
      <c r="E87">
        <v>975523.54</v>
      </c>
      <c r="F87">
        <v>995523.54</v>
      </c>
      <c r="G87">
        <v>747264.55</v>
      </c>
      <c r="H87">
        <v>3410</v>
      </c>
      <c r="I87" s="6" t="s">
        <v>123</v>
      </c>
      <c r="J87" s="5">
        <v>26400</v>
      </c>
      <c r="L87">
        <v>4154.84</v>
      </c>
      <c r="M87" s="14">
        <v>80</v>
      </c>
      <c r="Q87" s="20" t="s">
        <v>150</v>
      </c>
      <c r="S87" s="6" t="s">
        <v>75</v>
      </c>
      <c r="T87">
        <v>2016</v>
      </c>
    </row>
    <row r="88" spans="1:20">
      <c r="A88">
        <v>2016</v>
      </c>
      <c r="B88" s="15" t="s">
        <v>77</v>
      </c>
      <c r="C88">
        <v>3000</v>
      </c>
      <c r="D88" s="15" t="s">
        <v>107</v>
      </c>
      <c r="E88">
        <v>975523.54</v>
      </c>
      <c r="F88">
        <v>995523.54</v>
      </c>
      <c r="G88">
        <v>747264.55</v>
      </c>
      <c r="H88">
        <v>3500</v>
      </c>
      <c r="I88" s="6" t="s">
        <v>126</v>
      </c>
      <c r="J88">
        <v>57012.52</v>
      </c>
      <c r="K88">
        <v>77012.524999999994</v>
      </c>
      <c r="L88">
        <v>42063.96</v>
      </c>
      <c r="M88" s="14">
        <v>81</v>
      </c>
      <c r="Q88" s="20" t="s">
        <v>150</v>
      </c>
      <c r="S88" s="6" t="s">
        <v>75</v>
      </c>
      <c r="T88">
        <v>2016</v>
      </c>
    </row>
    <row r="89" spans="1:20">
      <c r="A89">
        <v>2016</v>
      </c>
      <c r="B89" s="15" t="s">
        <v>77</v>
      </c>
      <c r="C89">
        <v>3000</v>
      </c>
      <c r="D89" s="15" t="s">
        <v>107</v>
      </c>
      <c r="E89">
        <v>975523.54</v>
      </c>
      <c r="F89">
        <v>995523.54</v>
      </c>
      <c r="G89">
        <v>747264.55</v>
      </c>
      <c r="H89">
        <v>3610</v>
      </c>
      <c r="I89" s="6" t="s">
        <v>133</v>
      </c>
      <c r="J89">
        <v>40642.47</v>
      </c>
      <c r="L89" s="5">
        <v>59160</v>
      </c>
      <c r="M89" s="14">
        <v>82</v>
      </c>
      <c r="Q89" s="20" t="s">
        <v>150</v>
      </c>
      <c r="S89" s="6" t="s">
        <v>75</v>
      </c>
      <c r="T89">
        <v>2016</v>
      </c>
    </row>
    <row r="90" spans="1:20">
      <c r="A90">
        <v>2016</v>
      </c>
      <c r="B90" s="15" t="s">
        <v>77</v>
      </c>
      <c r="C90">
        <v>3000</v>
      </c>
      <c r="D90" s="15" t="s">
        <v>107</v>
      </c>
      <c r="E90">
        <v>975523.54</v>
      </c>
      <c r="F90">
        <v>995523.54</v>
      </c>
      <c r="G90">
        <v>747264.55</v>
      </c>
      <c r="H90">
        <v>3750</v>
      </c>
      <c r="I90" s="6" t="s">
        <v>146</v>
      </c>
      <c r="J90" s="16">
        <v>93750</v>
      </c>
      <c r="L90">
        <v>37836.35</v>
      </c>
      <c r="M90" s="14">
        <v>83</v>
      </c>
      <c r="Q90" s="20" t="s">
        <v>150</v>
      </c>
      <c r="S90" s="6" t="s">
        <v>75</v>
      </c>
      <c r="T90">
        <v>2016</v>
      </c>
    </row>
    <row r="91" spans="1:20">
      <c r="A91">
        <v>2016</v>
      </c>
      <c r="B91" s="15" t="s">
        <v>77</v>
      </c>
      <c r="C91">
        <v>3000</v>
      </c>
      <c r="D91" s="15" t="s">
        <v>107</v>
      </c>
      <c r="E91">
        <v>975523.54</v>
      </c>
      <c r="F91">
        <v>995523.54</v>
      </c>
      <c r="G91">
        <v>747264.55</v>
      </c>
      <c r="H91">
        <v>3820</v>
      </c>
      <c r="I91" s="6" t="s">
        <v>138</v>
      </c>
      <c r="J91" s="16">
        <v>62500</v>
      </c>
      <c r="L91">
        <v>42254.55</v>
      </c>
      <c r="M91" s="14">
        <v>84</v>
      </c>
      <c r="Q91" s="20" t="s">
        <v>150</v>
      </c>
      <c r="S91" s="6" t="s">
        <v>75</v>
      </c>
      <c r="T91">
        <v>2016</v>
      </c>
    </row>
    <row r="92" spans="1:20">
      <c r="A92">
        <v>2016</v>
      </c>
      <c r="B92" s="15" t="s">
        <v>77</v>
      </c>
      <c r="C92">
        <v>3000</v>
      </c>
      <c r="D92" s="15" t="s">
        <v>107</v>
      </c>
      <c r="E92">
        <v>975523.54</v>
      </c>
      <c r="F92">
        <v>995523.54</v>
      </c>
      <c r="G92">
        <v>747264.55</v>
      </c>
      <c r="H92">
        <v>3960</v>
      </c>
      <c r="I92" s="6" t="s">
        <v>141</v>
      </c>
      <c r="J92">
        <v>110744.35</v>
      </c>
      <c r="L92" s="5">
        <v>91618.4</v>
      </c>
      <c r="M92" s="14">
        <v>85</v>
      </c>
      <c r="Q92" s="20" t="s">
        <v>150</v>
      </c>
      <c r="S92" s="6" t="s">
        <v>75</v>
      </c>
      <c r="T92">
        <v>2016</v>
      </c>
    </row>
    <row r="93" spans="1:20">
      <c r="A93">
        <v>2016</v>
      </c>
      <c r="B93" s="15" t="s">
        <v>145</v>
      </c>
      <c r="C93">
        <v>1000</v>
      </c>
      <c r="D93" s="15" t="s">
        <v>71</v>
      </c>
      <c r="E93">
        <v>4707498.09</v>
      </c>
      <c r="F93">
        <v>5198955.4800000004</v>
      </c>
      <c r="G93">
        <f>9216371.93-4472960.77</f>
        <v>4743411.16</v>
      </c>
      <c r="H93">
        <v>1130</v>
      </c>
      <c r="I93" t="s">
        <v>72</v>
      </c>
      <c r="J93">
        <v>1680185.4600000002</v>
      </c>
      <c r="K93">
        <v>1982618.8400000003</v>
      </c>
      <c r="L93">
        <f>3319832.07-1580782.69</f>
        <v>1739049.38</v>
      </c>
      <c r="M93" s="14">
        <v>86</v>
      </c>
      <c r="Q93" s="20" t="s">
        <v>150</v>
      </c>
      <c r="S93" s="6" t="s">
        <v>75</v>
      </c>
      <c r="T93">
        <v>2016</v>
      </c>
    </row>
    <row r="94" spans="1:20">
      <c r="A94">
        <v>2016</v>
      </c>
      <c r="B94" s="15" t="s">
        <v>145</v>
      </c>
      <c r="C94">
        <v>1000</v>
      </c>
      <c r="D94" s="15" t="s">
        <v>71</v>
      </c>
      <c r="E94">
        <v>4707498.09</v>
      </c>
      <c r="F94">
        <v>5198955.4800000004</v>
      </c>
      <c r="G94">
        <v>4743411.16</v>
      </c>
      <c r="H94">
        <v>1340</v>
      </c>
      <c r="I94" t="s">
        <v>76</v>
      </c>
      <c r="J94">
        <v>2079812.5100000002</v>
      </c>
      <c r="K94">
        <v>2159240.37</v>
      </c>
      <c r="L94">
        <f>4102844.26-2048894.65</f>
        <v>2053949.6099999999</v>
      </c>
      <c r="M94" s="14">
        <v>87</v>
      </c>
      <c r="Q94" s="20" t="s">
        <v>150</v>
      </c>
      <c r="S94" s="6" t="s">
        <v>75</v>
      </c>
      <c r="T94">
        <v>2016</v>
      </c>
    </row>
    <row r="95" spans="1:20">
      <c r="A95">
        <v>2016</v>
      </c>
      <c r="B95" s="15" t="s">
        <v>145</v>
      </c>
      <c r="C95">
        <v>1000</v>
      </c>
      <c r="D95" s="15" t="s">
        <v>71</v>
      </c>
      <c r="E95">
        <v>4707498.09</v>
      </c>
      <c r="F95">
        <v>5198955.4800000004</v>
      </c>
      <c r="G95">
        <v>4743411.16</v>
      </c>
      <c r="H95">
        <v>1410</v>
      </c>
      <c r="I95" t="s">
        <v>78</v>
      </c>
      <c r="J95">
        <v>427692.19</v>
      </c>
      <c r="K95">
        <v>503216.34</v>
      </c>
      <c r="L95">
        <f>858020.42-419174.01</f>
        <v>438846.41000000003</v>
      </c>
      <c r="M95" s="14">
        <v>88</v>
      </c>
      <c r="Q95" s="20" t="s">
        <v>150</v>
      </c>
      <c r="S95" s="6" t="s">
        <v>75</v>
      </c>
      <c r="T95">
        <v>2016</v>
      </c>
    </row>
    <row r="96" spans="1:20">
      <c r="A96">
        <v>2016</v>
      </c>
      <c r="B96" s="15" t="s">
        <v>145</v>
      </c>
      <c r="C96">
        <v>1000</v>
      </c>
      <c r="D96" s="15" t="s">
        <v>71</v>
      </c>
      <c r="E96">
        <v>4707498.09</v>
      </c>
      <c r="F96">
        <v>5198955.4800000004</v>
      </c>
      <c r="G96">
        <v>4743411.16</v>
      </c>
      <c r="H96">
        <v>1590</v>
      </c>
      <c r="I96" t="s">
        <v>85</v>
      </c>
      <c r="J96" s="5">
        <v>398396</v>
      </c>
      <c r="K96" s="5">
        <v>432468</v>
      </c>
      <c r="L96">
        <f>817575.68-354629.5</f>
        <v>462946.18000000005</v>
      </c>
      <c r="M96" s="14">
        <v>89</v>
      </c>
      <c r="N96" t="s">
        <v>73</v>
      </c>
      <c r="Q96" s="20" t="s">
        <v>150</v>
      </c>
      <c r="S96" s="6" t="s">
        <v>75</v>
      </c>
      <c r="T96">
        <v>2016</v>
      </c>
    </row>
    <row r="97" spans="1:20">
      <c r="A97">
        <v>2016</v>
      </c>
      <c r="B97" s="15" t="s">
        <v>145</v>
      </c>
      <c r="C97">
        <v>1000</v>
      </c>
      <c r="D97" s="15" t="s">
        <v>71</v>
      </c>
      <c r="E97">
        <v>4707498.09</v>
      </c>
      <c r="F97">
        <v>5198955.4800000004</v>
      </c>
      <c r="G97">
        <v>4743411.16</v>
      </c>
      <c r="H97">
        <v>1710</v>
      </c>
      <c r="I97" t="s">
        <v>88</v>
      </c>
      <c r="J97">
        <v>121411.93</v>
      </c>
      <c r="L97">
        <f>83459.9-43500.22</f>
        <v>39959.679999999993</v>
      </c>
      <c r="M97" s="14">
        <v>90</v>
      </c>
      <c r="Q97" s="20" t="s">
        <v>150</v>
      </c>
      <c r="S97" s="6" t="s">
        <v>75</v>
      </c>
      <c r="T97">
        <v>2016</v>
      </c>
    </row>
    <row r="98" spans="1:20">
      <c r="A98">
        <v>2016</v>
      </c>
      <c r="B98" s="15" t="s">
        <v>145</v>
      </c>
      <c r="C98">
        <v>2000</v>
      </c>
      <c r="D98" s="15" t="s">
        <v>90</v>
      </c>
      <c r="E98">
        <v>272668.95</v>
      </c>
      <c r="G98">
        <f>484536.19-235004.08</f>
        <v>249532.11000000002</v>
      </c>
      <c r="H98">
        <v>2110</v>
      </c>
      <c r="I98" s="6" t="s">
        <v>91</v>
      </c>
      <c r="J98">
        <v>114934.7</v>
      </c>
      <c r="L98">
        <f>204972.3-93061.96</f>
        <v>111910.33999999998</v>
      </c>
      <c r="M98" s="14">
        <v>91</v>
      </c>
      <c r="Q98" s="20" t="s">
        <v>150</v>
      </c>
      <c r="S98" s="6" t="s">
        <v>75</v>
      </c>
      <c r="T98">
        <v>2016</v>
      </c>
    </row>
    <row r="99" spans="1:20">
      <c r="A99">
        <v>2016</v>
      </c>
      <c r="B99" s="15" t="s">
        <v>145</v>
      </c>
      <c r="C99">
        <v>2000</v>
      </c>
      <c r="D99" s="15" t="s">
        <v>90</v>
      </c>
      <c r="E99">
        <v>272668.95</v>
      </c>
      <c r="G99">
        <v>249532.11</v>
      </c>
      <c r="H99">
        <v>2610</v>
      </c>
      <c r="I99" s="6" t="s">
        <v>97</v>
      </c>
      <c r="J99" s="16">
        <v>100000</v>
      </c>
      <c r="L99">
        <f>200815.24-102416.36</f>
        <v>98398.87999999999</v>
      </c>
      <c r="M99" s="14">
        <v>92</v>
      </c>
      <c r="Q99" s="20" t="s">
        <v>150</v>
      </c>
      <c r="S99" s="6" t="s">
        <v>75</v>
      </c>
      <c r="T99">
        <v>2016</v>
      </c>
    </row>
    <row r="100" spans="1:20">
      <c r="A100">
        <v>2016</v>
      </c>
      <c r="B100" s="15" t="s">
        <v>145</v>
      </c>
      <c r="C100">
        <v>2000</v>
      </c>
      <c r="D100" s="15" t="s">
        <v>90</v>
      </c>
      <c r="E100">
        <v>272668.95</v>
      </c>
      <c r="G100">
        <v>249532.11</v>
      </c>
      <c r="H100">
        <v>2900</v>
      </c>
      <c r="I100" s="6" t="s">
        <v>99</v>
      </c>
      <c r="J100">
        <v>57734.25</v>
      </c>
      <c r="L100">
        <f>78748.65-39525.76</f>
        <v>39222.889999999992</v>
      </c>
      <c r="M100" s="14">
        <v>93</v>
      </c>
      <c r="Q100" s="20" t="s">
        <v>150</v>
      </c>
      <c r="S100" s="6" t="s">
        <v>75</v>
      </c>
      <c r="T100">
        <v>2016</v>
      </c>
    </row>
    <row r="101" spans="1:20">
      <c r="A101">
        <v>2016</v>
      </c>
      <c r="B101" s="15" t="s">
        <v>145</v>
      </c>
      <c r="C101">
        <v>3000</v>
      </c>
      <c r="D101" s="15" t="s">
        <v>107</v>
      </c>
      <c r="E101" s="5">
        <v>975523.54203333356</v>
      </c>
      <c r="G101">
        <f>1533576.38-747264.55</f>
        <v>786311.82999999984</v>
      </c>
      <c r="H101">
        <v>3110</v>
      </c>
      <c r="I101" s="6" t="s">
        <v>108</v>
      </c>
      <c r="J101">
        <v>198039.55</v>
      </c>
      <c r="L101">
        <f>301638.69-135848.36</f>
        <v>165790.33000000002</v>
      </c>
      <c r="M101" s="14">
        <v>94</v>
      </c>
      <c r="Q101" s="20" t="s">
        <v>150</v>
      </c>
      <c r="S101" s="6" t="s">
        <v>75</v>
      </c>
      <c r="T101">
        <v>2016</v>
      </c>
    </row>
    <row r="102" spans="1:20">
      <c r="A102">
        <v>2016</v>
      </c>
      <c r="B102" s="15" t="s">
        <v>145</v>
      </c>
      <c r="C102">
        <v>3000</v>
      </c>
      <c r="D102" s="15" t="s">
        <v>107</v>
      </c>
      <c r="E102">
        <v>975523.54</v>
      </c>
      <c r="G102">
        <v>786311.83</v>
      </c>
      <c r="H102">
        <v>3220</v>
      </c>
      <c r="I102" s="6" t="s">
        <v>114</v>
      </c>
      <c r="J102" s="5">
        <v>342631.41249999998</v>
      </c>
      <c r="L102">
        <f>652141.16-320982.04</f>
        <v>331159.12000000005</v>
      </c>
      <c r="M102" s="14">
        <v>95</v>
      </c>
      <c r="Q102" s="20" t="s">
        <v>150</v>
      </c>
      <c r="S102" s="6" t="s">
        <v>75</v>
      </c>
      <c r="T102">
        <v>2016</v>
      </c>
    </row>
    <row r="103" spans="1:20">
      <c r="A103">
        <v>2016</v>
      </c>
      <c r="B103" s="15" t="s">
        <v>145</v>
      </c>
      <c r="C103">
        <v>3000</v>
      </c>
      <c r="D103" s="15" t="s">
        <v>107</v>
      </c>
      <c r="E103">
        <v>975523.54</v>
      </c>
      <c r="G103">
        <v>786311.83</v>
      </c>
      <c r="H103">
        <v>3310</v>
      </c>
      <c r="I103" s="6" t="s">
        <v>117</v>
      </c>
      <c r="J103" s="5">
        <v>43803.214999999997</v>
      </c>
      <c r="L103">
        <f>49196.59-13346.05</f>
        <v>35850.539999999994</v>
      </c>
      <c r="M103" s="14">
        <v>96</v>
      </c>
      <c r="Q103" s="20" t="s">
        <v>150</v>
      </c>
      <c r="S103" s="6" t="s">
        <v>75</v>
      </c>
      <c r="T103">
        <v>2016</v>
      </c>
    </row>
    <row r="104" spans="1:20">
      <c r="A104">
        <v>2016</v>
      </c>
      <c r="B104" s="15" t="s">
        <v>145</v>
      </c>
      <c r="C104">
        <v>3000</v>
      </c>
      <c r="D104" s="15" t="s">
        <v>107</v>
      </c>
      <c r="E104">
        <v>975523.54</v>
      </c>
      <c r="G104">
        <v>786311.83</v>
      </c>
      <c r="H104">
        <v>3410</v>
      </c>
      <c r="I104" s="6" t="s">
        <v>123</v>
      </c>
      <c r="J104" s="5">
        <v>26400</v>
      </c>
      <c r="L104">
        <f>11145.6-4154.84</f>
        <v>6990.76</v>
      </c>
      <c r="M104" s="14">
        <v>97</v>
      </c>
      <c r="Q104" s="20" t="s">
        <v>150</v>
      </c>
      <c r="S104" s="6" t="s">
        <v>75</v>
      </c>
      <c r="T104">
        <v>2016</v>
      </c>
    </row>
    <row r="105" spans="1:20">
      <c r="A105">
        <v>2016</v>
      </c>
      <c r="B105" s="15" t="s">
        <v>145</v>
      </c>
      <c r="C105">
        <v>3000</v>
      </c>
      <c r="D105" s="15" t="s">
        <v>107</v>
      </c>
      <c r="E105">
        <v>975523.54</v>
      </c>
      <c r="G105">
        <v>786311.83</v>
      </c>
      <c r="H105">
        <v>3500</v>
      </c>
      <c r="I105" s="6" t="s">
        <v>126</v>
      </c>
      <c r="J105" s="5">
        <v>57012.525000000001</v>
      </c>
      <c r="L105">
        <f>95746.75-42063.96</f>
        <v>53682.79</v>
      </c>
      <c r="M105" s="14">
        <v>98</v>
      </c>
      <c r="Q105" s="20" t="s">
        <v>150</v>
      </c>
      <c r="S105" s="6" t="s">
        <v>75</v>
      </c>
      <c r="T105">
        <v>2016</v>
      </c>
    </row>
    <row r="106" spans="1:20">
      <c r="A106">
        <v>2016</v>
      </c>
      <c r="B106" s="15" t="s">
        <v>145</v>
      </c>
      <c r="C106">
        <v>3000</v>
      </c>
      <c r="D106" s="15" t="s">
        <v>107</v>
      </c>
      <c r="E106">
        <v>975523.54</v>
      </c>
      <c r="G106">
        <v>786311.83</v>
      </c>
      <c r="H106">
        <v>3610</v>
      </c>
      <c r="I106" s="6" t="s">
        <v>133</v>
      </c>
      <c r="J106" s="5">
        <v>40642.474999999999</v>
      </c>
      <c r="L106" s="5">
        <f>59647.2-59160</f>
        <v>487.19999999999709</v>
      </c>
      <c r="M106" s="14">
        <v>99</v>
      </c>
      <c r="Q106" s="20" t="s">
        <v>150</v>
      </c>
      <c r="S106" s="6" t="s">
        <v>75</v>
      </c>
      <c r="T106">
        <v>2016</v>
      </c>
    </row>
    <row r="107" spans="1:20">
      <c r="A107">
        <v>2016</v>
      </c>
      <c r="B107" s="15" t="s">
        <v>145</v>
      </c>
      <c r="C107">
        <v>3000</v>
      </c>
      <c r="D107" s="15" t="s">
        <v>107</v>
      </c>
      <c r="E107">
        <v>975523.54</v>
      </c>
      <c r="G107">
        <v>786311.83</v>
      </c>
      <c r="H107">
        <v>3750</v>
      </c>
      <c r="I107" s="6" t="s">
        <v>146</v>
      </c>
      <c r="J107" s="5">
        <v>93750</v>
      </c>
      <c r="L107">
        <f>100952.99-37836.35</f>
        <v>63116.640000000007</v>
      </c>
      <c r="M107" s="14">
        <v>100</v>
      </c>
      <c r="Q107" s="20" t="s">
        <v>150</v>
      </c>
      <c r="S107" s="6" t="s">
        <v>75</v>
      </c>
      <c r="T107">
        <v>2016</v>
      </c>
    </row>
    <row r="108" spans="1:20">
      <c r="A108">
        <v>2016</v>
      </c>
      <c r="B108" s="15" t="s">
        <v>145</v>
      </c>
      <c r="C108">
        <v>3000</v>
      </c>
      <c r="D108" s="15" t="s">
        <v>107</v>
      </c>
      <c r="E108">
        <v>975523.54</v>
      </c>
      <c r="G108">
        <v>786311.83</v>
      </c>
      <c r="H108">
        <v>3820</v>
      </c>
      <c r="I108" s="6" t="s">
        <v>138</v>
      </c>
      <c r="J108" s="5">
        <v>62500</v>
      </c>
      <c r="L108">
        <f>88565.94-42254.55</f>
        <v>46311.39</v>
      </c>
      <c r="M108" s="14">
        <v>101</v>
      </c>
      <c r="Q108" s="20" t="s">
        <v>150</v>
      </c>
      <c r="S108" s="6" t="s">
        <v>75</v>
      </c>
      <c r="T108">
        <v>2016</v>
      </c>
    </row>
    <row r="109" spans="1:20">
      <c r="A109">
        <v>2016</v>
      </c>
      <c r="B109" s="15" t="s">
        <v>145</v>
      </c>
      <c r="C109">
        <v>3000</v>
      </c>
      <c r="D109" s="15" t="s">
        <v>107</v>
      </c>
      <c r="E109">
        <v>975523.54</v>
      </c>
      <c r="G109">
        <v>786311.83</v>
      </c>
      <c r="H109">
        <v>3960</v>
      </c>
      <c r="I109" s="6" t="s">
        <v>141</v>
      </c>
      <c r="J109" s="5">
        <v>110744.35703333333</v>
      </c>
      <c r="L109">
        <f>174541.46-91618.4</f>
        <v>82923.06</v>
      </c>
      <c r="M109" s="14">
        <v>102</v>
      </c>
      <c r="Q109" s="20" t="s">
        <v>150</v>
      </c>
      <c r="S109" s="6" t="s">
        <v>75</v>
      </c>
      <c r="T109">
        <v>2016</v>
      </c>
    </row>
    <row r="110" spans="1:20">
      <c r="A110">
        <v>2016</v>
      </c>
      <c r="B110" s="15" t="s">
        <v>147</v>
      </c>
      <c r="C110">
        <v>1000</v>
      </c>
      <c r="D110" s="15" t="s">
        <v>71</v>
      </c>
      <c r="E110" s="5">
        <v>5437247.1894547613</v>
      </c>
      <c r="G110">
        <f>14608866.59-9216371.93</f>
        <v>5392494.6600000001</v>
      </c>
      <c r="H110">
        <v>1130</v>
      </c>
      <c r="I110" t="s">
        <v>72</v>
      </c>
      <c r="J110">
        <v>1680185.4600000002</v>
      </c>
      <c r="L110">
        <f>5003175.36-3319832.07</f>
        <v>1683343.2900000005</v>
      </c>
      <c r="M110" s="14">
        <v>103</v>
      </c>
      <c r="Q110" s="20" t="s">
        <v>150</v>
      </c>
      <c r="S110" s="6" t="s">
        <v>75</v>
      </c>
      <c r="T110">
        <v>2016</v>
      </c>
    </row>
    <row r="111" spans="1:20">
      <c r="A111">
        <v>2016</v>
      </c>
      <c r="B111" s="15" t="s">
        <v>147</v>
      </c>
      <c r="C111">
        <v>1000</v>
      </c>
      <c r="D111" s="15" t="s">
        <v>71</v>
      </c>
      <c r="E111">
        <v>5437247.1900000004</v>
      </c>
      <c r="G111">
        <v>5392494.6600000001</v>
      </c>
      <c r="H111">
        <v>1340</v>
      </c>
      <c r="I111" t="s">
        <v>76</v>
      </c>
      <c r="J111" s="5">
        <v>2826561.6033333335</v>
      </c>
      <c r="L111">
        <f>6904529.49-4102844.26</f>
        <v>2801685.2300000004</v>
      </c>
      <c r="M111" s="14">
        <v>104</v>
      </c>
      <c r="Q111" s="20" t="s">
        <v>150</v>
      </c>
      <c r="S111" s="6" t="s">
        <v>75</v>
      </c>
      <c r="T111">
        <v>2016</v>
      </c>
    </row>
    <row r="112" spans="1:20">
      <c r="A112">
        <v>2016</v>
      </c>
      <c r="B112" s="15" t="s">
        <v>147</v>
      </c>
      <c r="C112">
        <v>1000</v>
      </c>
      <c r="D112" s="15" t="s">
        <v>71</v>
      </c>
      <c r="E112">
        <v>5437247.1900000004</v>
      </c>
      <c r="G112">
        <v>5392494.6600000001</v>
      </c>
      <c r="H112">
        <v>1410</v>
      </c>
      <c r="I112" t="s">
        <v>78</v>
      </c>
      <c r="J112" s="5">
        <v>427692.19754999992</v>
      </c>
      <c r="L112" s="5">
        <f>1311887.82-858020.42</f>
        <v>453867.4</v>
      </c>
      <c r="M112" s="14">
        <v>105</v>
      </c>
      <c r="Q112" s="20" t="s">
        <v>150</v>
      </c>
      <c r="S112" s="6" t="s">
        <v>75</v>
      </c>
      <c r="T112">
        <v>2016</v>
      </c>
    </row>
    <row r="113" spans="1:20">
      <c r="A113">
        <v>2016</v>
      </c>
      <c r="B113" s="15" t="s">
        <v>147</v>
      </c>
      <c r="C113">
        <v>1000</v>
      </c>
      <c r="D113" s="15" t="s">
        <v>71</v>
      </c>
      <c r="E113">
        <v>5437247.1900000004</v>
      </c>
      <c r="G113">
        <v>5392494.6600000001</v>
      </c>
      <c r="H113">
        <v>1590</v>
      </c>
      <c r="I113" t="s">
        <v>85</v>
      </c>
      <c r="J113" s="5">
        <v>381396</v>
      </c>
      <c r="L113">
        <f>1216624.72-817575.68</f>
        <v>399049.03999999992</v>
      </c>
      <c r="M113" s="14">
        <v>106</v>
      </c>
      <c r="Q113" s="20" t="s">
        <v>150</v>
      </c>
      <c r="S113" s="6" t="s">
        <v>75</v>
      </c>
      <c r="T113">
        <v>2016</v>
      </c>
    </row>
    <row r="114" spans="1:20">
      <c r="A114">
        <v>2016</v>
      </c>
      <c r="B114" s="15" t="s">
        <v>147</v>
      </c>
      <c r="C114">
        <v>1000</v>
      </c>
      <c r="D114" s="15" t="s">
        <v>71</v>
      </c>
      <c r="E114">
        <v>5437247.1900000004</v>
      </c>
      <c r="G114">
        <v>5392494.6600000001</v>
      </c>
      <c r="H114">
        <v>1710</v>
      </c>
      <c r="I114" t="s">
        <v>88</v>
      </c>
      <c r="J114" s="5">
        <v>121411.92857142857</v>
      </c>
      <c r="L114">
        <f>127566.72-83459.9</f>
        <v>44106.820000000007</v>
      </c>
      <c r="M114" s="14">
        <v>107</v>
      </c>
      <c r="Q114" s="20" t="s">
        <v>150</v>
      </c>
      <c r="S114" s="6" t="s">
        <v>75</v>
      </c>
      <c r="T114">
        <v>2016</v>
      </c>
    </row>
    <row r="115" spans="1:20">
      <c r="A115">
        <v>2016</v>
      </c>
      <c r="B115" s="15" t="s">
        <v>147</v>
      </c>
      <c r="C115">
        <v>2000</v>
      </c>
      <c r="D115" s="15" t="s">
        <v>90</v>
      </c>
      <c r="E115" s="5">
        <v>272668.95250000001</v>
      </c>
      <c r="F115" s="17">
        <v>252668.95250000001</v>
      </c>
      <c r="G115">
        <f>676383.62-484536.19</f>
        <v>191847.43</v>
      </c>
      <c r="H115">
        <v>2110</v>
      </c>
      <c r="I115" s="6" t="s">
        <v>91</v>
      </c>
      <c r="J115" s="5">
        <v>114934.7025</v>
      </c>
      <c r="L115">
        <f>288625.78-204972.3</f>
        <v>83653.48000000004</v>
      </c>
      <c r="M115" s="14">
        <v>108</v>
      </c>
      <c r="Q115" s="20" t="s">
        <v>150</v>
      </c>
      <c r="S115" s="6" t="s">
        <v>75</v>
      </c>
      <c r="T115">
        <v>2016</v>
      </c>
    </row>
    <row r="116" spans="1:20">
      <c r="A116">
        <v>2016</v>
      </c>
      <c r="B116" s="15" t="s">
        <v>147</v>
      </c>
      <c r="C116">
        <v>2000</v>
      </c>
      <c r="D116" s="15" t="s">
        <v>90</v>
      </c>
      <c r="E116">
        <v>272668.95</v>
      </c>
      <c r="F116">
        <v>252668.95</v>
      </c>
      <c r="G116">
        <v>191847.43</v>
      </c>
      <c r="H116">
        <v>2610</v>
      </c>
      <c r="I116" s="6" t="s">
        <v>97</v>
      </c>
      <c r="J116" s="5">
        <v>100000</v>
      </c>
      <c r="L116">
        <f>300701.46-200815.24</f>
        <v>99886.22000000003</v>
      </c>
      <c r="M116" s="14">
        <v>109</v>
      </c>
      <c r="Q116" s="20" t="s">
        <v>150</v>
      </c>
      <c r="S116" s="6" t="s">
        <v>75</v>
      </c>
      <c r="T116">
        <v>2016</v>
      </c>
    </row>
    <row r="117" spans="1:20">
      <c r="A117">
        <v>2016</v>
      </c>
      <c r="B117" s="15" t="s">
        <v>147</v>
      </c>
      <c r="C117">
        <v>2000</v>
      </c>
      <c r="D117" s="15" t="s">
        <v>90</v>
      </c>
      <c r="E117">
        <v>272668.95</v>
      </c>
      <c r="F117">
        <v>252668.95</v>
      </c>
      <c r="G117">
        <v>191847.43</v>
      </c>
      <c r="H117">
        <v>2900</v>
      </c>
      <c r="I117" s="6" t="s">
        <v>99</v>
      </c>
      <c r="J117">
        <v>57734.25</v>
      </c>
      <c r="K117">
        <v>37734.25</v>
      </c>
      <c r="L117">
        <f>87056.38-78748.65</f>
        <v>8307.7300000000105</v>
      </c>
      <c r="M117" s="14">
        <v>110</v>
      </c>
      <c r="Q117" s="20" t="s">
        <v>150</v>
      </c>
      <c r="S117" s="6" t="s">
        <v>75</v>
      </c>
      <c r="T117">
        <v>2016</v>
      </c>
    </row>
    <row r="118" spans="1:20">
      <c r="A118">
        <v>2016</v>
      </c>
      <c r="B118" s="15" t="s">
        <v>147</v>
      </c>
      <c r="C118">
        <v>3000</v>
      </c>
      <c r="D118" s="15" t="s">
        <v>107</v>
      </c>
      <c r="E118" s="5">
        <v>975523.54203333403</v>
      </c>
      <c r="F118" s="5">
        <v>995523.54203333333</v>
      </c>
      <c r="G118">
        <f>2431144.41-1533576.38</f>
        <v>897568.03000000026</v>
      </c>
      <c r="H118">
        <v>3110</v>
      </c>
      <c r="I118" s="6" t="s">
        <v>108</v>
      </c>
      <c r="J118" s="5">
        <v>198039.5575</v>
      </c>
      <c r="L118">
        <f>523203.14-301638.69</f>
        <v>221564.45</v>
      </c>
      <c r="M118" s="14">
        <v>111</v>
      </c>
      <c r="Q118" s="20" t="s">
        <v>150</v>
      </c>
      <c r="S118" s="6" t="s">
        <v>75</v>
      </c>
      <c r="T118">
        <v>2016</v>
      </c>
    </row>
    <row r="119" spans="1:20">
      <c r="A119">
        <v>2016</v>
      </c>
      <c r="B119" s="15" t="s">
        <v>147</v>
      </c>
      <c r="C119">
        <v>3000</v>
      </c>
      <c r="D119" s="15" t="s">
        <v>107</v>
      </c>
      <c r="E119">
        <v>975523.54</v>
      </c>
      <c r="F119">
        <v>995523.54</v>
      </c>
      <c r="G119">
        <v>897568.03</v>
      </c>
      <c r="H119">
        <v>3220</v>
      </c>
      <c r="I119" s="6" t="s">
        <v>114</v>
      </c>
      <c r="J119" s="5">
        <v>342631.41249999998</v>
      </c>
      <c r="L119">
        <f>998539.52-652141.16</f>
        <v>346398.36</v>
      </c>
      <c r="M119" s="14">
        <v>112</v>
      </c>
      <c r="Q119" s="20" t="s">
        <v>150</v>
      </c>
      <c r="S119" s="6" t="s">
        <v>75</v>
      </c>
      <c r="T119">
        <v>2016</v>
      </c>
    </row>
    <row r="120" spans="1:20">
      <c r="A120">
        <v>2016</v>
      </c>
      <c r="B120" s="15" t="s">
        <v>147</v>
      </c>
      <c r="C120">
        <v>3000</v>
      </c>
      <c r="D120" s="15" t="s">
        <v>107</v>
      </c>
      <c r="E120">
        <v>975523.54</v>
      </c>
      <c r="F120">
        <v>995523.54</v>
      </c>
      <c r="G120">
        <v>897568.03</v>
      </c>
      <c r="H120">
        <v>3310</v>
      </c>
      <c r="I120" s="6" t="s">
        <v>117</v>
      </c>
      <c r="J120" s="5">
        <v>43803.214999999997</v>
      </c>
      <c r="L120">
        <f>81791.94-49196.59</f>
        <v>32595.350000000006</v>
      </c>
      <c r="M120" s="14">
        <v>113</v>
      </c>
      <c r="Q120" s="20" t="s">
        <v>150</v>
      </c>
      <c r="S120" s="6" t="s">
        <v>75</v>
      </c>
      <c r="T120">
        <v>2016</v>
      </c>
    </row>
    <row r="121" spans="1:20">
      <c r="A121">
        <v>2016</v>
      </c>
      <c r="B121" s="15" t="s">
        <v>147</v>
      </c>
      <c r="C121">
        <v>3000</v>
      </c>
      <c r="D121" s="15" t="s">
        <v>107</v>
      </c>
      <c r="E121">
        <v>975523.54</v>
      </c>
      <c r="F121">
        <v>995523.54</v>
      </c>
      <c r="G121">
        <v>897568.03</v>
      </c>
      <c r="H121">
        <v>3410</v>
      </c>
      <c r="I121" s="6" t="s">
        <v>123</v>
      </c>
      <c r="J121" s="5">
        <v>26400</v>
      </c>
      <c r="L121">
        <f>58363.52-11145.6</f>
        <v>47217.919999999998</v>
      </c>
      <c r="M121" s="14">
        <v>114</v>
      </c>
      <c r="Q121" s="20" t="s">
        <v>150</v>
      </c>
      <c r="S121" s="6" t="s">
        <v>75</v>
      </c>
      <c r="T121">
        <v>2016</v>
      </c>
    </row>
    <row r="122" spans="1:20">
      <c r="A122">
        <v>2016</v>
      </c>
      <c r="B122" s="15" t="s">
        <v>147</v>
      </c>
      <c r="C122">
        <v>3000</v>
      </c>
      <c r="D122" s="15" t="s">
        <v>107</v>
      </c>
      <c r="E122">
        <v>975523.54</v>
      </c>
      <c r="F122">
        <v>995523.54</v>
      </c>
      <c r="G122">
        <v>897568.03</v>
      </c>
      <c r="H122">
        <v>3500</v>
      </c>
      <c r="I122" s="6" t="s">
        <v>126</v>
      </c>
      <c r="J122" s="5">
        <v>57012.525000000001</v>
      </c>
      <c r="K122" s="5">
        <v>77012.524999999994</v>
      </c>
      <c r="L122">
        <f>127793.06-95746.75</f>
        <v>32046.309999999998</v>
      </c>
      <c r="M122" s="14">
        <v>115</v>
      </c>
      <c r="Q122" s="20" t="s">
        <v>150</v>
      </c>
      <c r="S122" s="6" t="s">
        <v>75</v>
      </c>
      <c r="T122">
        <v>2016</v>
      </c>
    </row>
    <row r="123" spans="1:20">
      <c r="A123">
        <v>2016</v>
      </c>
      <c r="B123" s="15" t="s">
        <v>147</v>
      </c>
      <c r="C123">
        <v>3000</v>
      </c>
      <c r="D123" s="15" t="s">
        <v>107</v>
      </c>
      <c r="E123">
        <v>975523.54</v>
      </c>
      <c r="F123">
        <v>995523.54</v>
      </c>
      <c r="G123">
        <v>897568.03</v>
      </c>
      <c r="H123">
        <v>3610</v>
      </c>
      <c r="I123" s="6" t="s">
        <v>133</v>
      </c>
      <c r="J123" s="5">
        <v>40642.474999999999</v>
      </c>
      <c r="L123" s="5">
        <f>60865.2-59647.2</f>
        <v>1218</v>
      </c>
      <c r="M123" s="14">
        <v>116</v>
      </c>
      <c r="Q123" s="20" t="s">
        <v>150</v>
      </c>
      <c r="S123" s="6" t="s">
        <v>75</v>
      </c>
      <c r="T123">
        <v>2016</v>
      </c>
    </row>
    <row r="124" spans="1:20">
      <c r="A124">
        <v>2016</v>
      </c>
      <c r="B124" s="15" t="s">
        <v>147</v>
      </c>
      <c r="C124">
        <v>3000</v>
      </c>
      <c r="D124" s="15" t="s">
        <v>107</v>
      </c>
      <c r="E124">
        <v>975523.54</v>
      </c>
      <c r="F124">
        <v>995523.54</v>
      </c>
      <c r="G124">
        <v>897568.03</v>
      </c>
      <c r="H124">
        <v>3750</v>
      </c>
      <c r="I124" s="6" t="s">
        <v>146</v>
      </c>
      <c r="J124" s="5">
        <v>93750</v>
      </c>
      <c r="L124">
        <f>168465.2-100952.99</f>
        <v>67512.210000000006</v>
      </c>
      <c r="M124" s="14">
        <v>117</v>
      </c>
      <c r="Q124" s="20" t="s">
        <v>150</v>
      </c>
      <c r="S124" s="6" t="s">
        <v>75</v>
      </c>
      <c r="T124">
        <v>2016</v>
      </c>
    </row>
    <row r="125" spans="1:20">
      <c r="A125">
        <v>2016</v>
      </c>
      <c r="B125" s="15" t="s">
        <v>147</v>
      </c>
      <c r="C125">
        <v>3000</v>
      </c>
      <c r="D125" s="15" t="s">
        <v>107</v>
      </c>
      <c r="E125">
        <v>975523.54</v>
      </c>
      <c r="F125">
        <v>995523.54</v>
      </c>
      <c r="G125">
        <v>897568.03</v>
      </c>
      <c r="H125">
        <v>3820</v>
      </c>
      <c r="I125" s="6" t="s">
        <v>138</v>
      </c>
      <c r="J125" s="5">
        <v>62500</v>
      </c>
      <c r="L125">
        <f>140713.43-88565.94</f>
        <v>52147.489999999991</v>
      </c>
      <c r="M125" s="14">
        <v>118</v>
      </c>
      <c r="Q125" s="20" t="s">
        <v>150</v>
      </c>
      <c r="S125" s="6" t="s">
        <v>75</v>
      </c>
      <c r="T125">
        <v>2016</v>
      </c>
    </row>
    <row r="126" spans="1:20">
      <c r="A126">
        <v>2016</v>
      </c>
      <c r="B126" s="15" t="s">
        <v>147</v>
      </c>
      <c r="C126">
        <v>3000</v>
      </c>
      <c r="D126" s="15" t="s">
        <v>107</v>
      </c>
      <c r="E126">
        <v>975523.54</v>
      </c>
      <c r="F126">
        <v>995523.54</v>
      </c>
      <c r="G126">
        <v>897568.03</v>
      </c>
      <c r="H126">
        <v>3960</v>
      </c>
      <c r="I126" s="6" t="s">
        <v>141</v>
      </c>
      <c r="J126" s="5">
        <v>110744.35703333333</v>
      </c>
      <c r="L126">
        <f>271409.4-174541.46</f>
        <v>96867.940000000031</v>
      </c>
      <c r="M126" s="14">
        <v>119</v>
      </c>
      <c r="Q126" s="20" t="s">
        <v>150</v>
      </c>
      <c r="S126" s="6" t="s">
        <v>75</v>
      </c>
      <c r="T126">
        <v>2016</v>
      </c>
    </row>
    <row r="127" spans="1:20">
      <c r="A127">
        <v>2016</v>
      </c>
      <c r="B127" s="15" t="s">
        <v>148</v>
      </c>
      <c r="C127">
        <v>1000</v>
      </c>
      <c r="D127" s="15" t="s">
        <v>71</v>
      </c>
      <c r="E127" s="5">
        <v>6866396.8151690485</v>
      </c>
      <c r="F127" s="15">
        <v>6866396.8200000003</v>
      </c>
      <c r="G127">
        <f>21350605.83-14608866.59</f>
        <v>6741739.2399999984</v>
      </c>
      <c r="H127">
        <v>1130</v>
      </c>
      <c r="I127" t="s">
        <v>72</v>
      </c>
      <c r="J127">
        <v>1680185.4600000002</v>
      </c>
      <c r="K127">
        <v>1687424.5600000003</v>
      </c>
      <c r="L127">
        <f>6706214.28-5003175.36</f>
        <v>1703038.92</v>
      </c>
      <c r="M127" s="14">
        <v>120</v>
      </c>
      <c r="Q127" s="20" t="s">
        <v>150</v>
      </c>
      <c r="S127" s="6" t="s">
        <v>75</v>
      </c>
      <c r="T127">
        <v>2016</v>
      </c>
    </row>
    <row r="128" spans="1:20">
      <c r="A128">
        <v>2016</v>
      </c>
      <c r="B128" s="15" t="s">
        <v>148</v>
      </c>
      <c r="C128">
        <v>1000</v>
      </c>
      <c r="D128" s="15" t="s">
        <v>71</v>
      </c>
      <c r="E128">
        <v>6866396.8200000003</v>
      </c>
      <c r="F128">
        <v>6866396.8200000003</v>
      </c>
      <c r="G128">
        <v>6741739.2400000002</v>
      </c>
      <c r="H128">
        <v>1340</v>
      </c>
      <c r="I128" t="s">
        <v>76</v>
      </c>
      <c r="J128" s="5">
        <v>4204769.9433333343</v>
      </c>
      <c r="L128">
        <f>11105018.15-6904529.49</f>
        <v>4200488.66</v>
      </c>
      <c r="M128" s="14">
        <v>121</v>
      </c>
      <c r="Q128" s="20" t="s">
        <v>150</v>
      </c>
      <c r="S128" s="6" t="s">
        <v>75</v>
      </c>
      <c r="T128">
        <v>2016</v>
      </c>
    </row>
    <row r="129" spans="1:20">
      <c r="A129">
        <v>2016</v>
      </c>
      <c r="B129" s="15" t="s">
        <v>148</v>
      </c>
      <c r="C129">
        <v>1000</v>
      </c>
      <c r="D129" s="15" t="s">
        <v>71</v>
      </c>
      <c r="E129">
        <v>6866396.8200000003</v>
      </c>
      <c r="F129">
        <v>6866396.8200000003</v>
      </c>
      <c r="G129">
        <v>6741739.2400000002</v>
      </c>
      <c r="H129">
        <v>1410</v>
      </c>
      <c r="I129" t="s">
        <v>78</v>
      </c>
      <c r="J129" s="5">
        <v>427692.19754999992</v>
      </c>
      <c r="L129">
        <f>1756920.56-1311887.82</f>
        <v>445032.74</v>
      </c>
      <c r="M129" s="14">
        <v>122</v>
      </c>
      <c r="Q129" s="20" t="s">
        <v>150</v>
      </c>
      <c r="S129" s="6" t="s">
        <v>75</v>
      </c>
      <c r="T129">
        <v>2016</v>
      </c>
    </row>
    <row r="130" spans="1:20">
      <c r="A130">
        <v>2016</v>
      </c>
      <c r="B130" s="15" t="s">
        <v>148</v>
      </c>
      <c r="C130">
        <v>1000</v>
      </c>
      <c r="D130" s="15" t="s">
        <v>71</v>
      </c>
      <c r="E130">
        <v>6866396.8200000003</v>
      </c>
      <c r="F130">
        <v>6866396.8200000003</v>
      </c>
      <c r="G130">
        <v>6741739.2400000002</v>
      </c>
      <c r="H130">
        <v>1590</v>
      </c>
      <c r="I130" t="s">
        <v>85</v>
      </c>
      <c r="J130" s="5">
        <v>351396</v>
      </c>
      <c r="K130" s="5">
        <v>344156.9</v>
      </c>
      <c r="L130">
        <f>1564194.22-1216624.72</f>
        <v>347569.5</v>
      </c>
      <c r="M130" s="14">
        <v>123</v>
      </c>
      <c r="Q130" s="20" t="s">
        <v>150</v>
      </c>
      <c r="S130" s="6" t="s">
        <v>75</v>
      </c>
      <c r="T130">
        <v>2016</v>
      </c>
    </row>
    <row r="131" spans="1:20">
      <c r="A131">
        <v>2016</v>
      </c>
      <c r="B131" s="15" t="s">
        <v>148</v>
      </c>
      <c r="C131">
        <v>1000</v>
      </c>
      <c r="D131" s="15" t="s">
        <v>71</v>
      </c>
      <c r="E131">
        <v>6866396.8200000003</v>
      </c>
      <c r="F131">
        <v>6866396.8200000003</v>
      </c>
      <c r="G131">
        <v>6741739.2400000002</v>
      </c>
      <c r="H131">
        <v>1710</v>
      </c>
      <c r="I131" t="s">
        <v>88</v>
      </c>
      <c r="J131" s="5">
        <v>202353.21428571426</v>
      </c>
      <c r="L131">
        <f>173176.14-127566.72</f>
        <v>45609.420000000013</v>
      </c>
      <c r="M131" s="14">
        <v>124</v>
      </c>
      <c r="Q131" s="20" t="s">
        <v>150</v>
      </c>
      <c r="S131" s="6" t="s">
        <v>75</v>
      </c>
      <c r="T131">
        <v>2016</v>
      </c>
    </row>
    <row r="132" spans="1:20">
      <c r="A132">
        <v>2016</v>
      </c>
      <c r="B132" s="15" t="s">
        <v>148</v>
      </c>
      <c r="C132">
        <v>2000</v>
      </c>
      <c r="D132" s="15" t="s">
        <v>90</v>
      </c>
      <c r="E132" s="5">
        <v>272668.95250000001</v>
      </c>
      <c r="F132" s="5">
        <v>272668.95250000001</v>
      </c>
      <c r="G132">
        <f>897874.9-676383.62</f>
        <v>221491.28000000003</v>
      </c>
      <c r="H132">
        <v>2110</v>
      </c>
      <c r="I132" s="6" t="s">
        <v>91</v>
      </c>
      <c r="J132" s="5">
        <v>114934.7025</v>
      </c>
      <c r="K132" s="5">
        <v>115072.0825</v>
      </c>
      <c r="L132">
        <f>379856-288625.78</f>
        <v>91230.219999999972</v>
      </c>
      <c r="M132" s="14">
        <v>125</v>
      </c>
      <c r="Q132" s="20" t="s">
        <v>150</v>
      </c>
      <c r="S132" s="6" t="s">
        <v>75</v>
      </c>
      <c r="T132">
        <v>2016</v>
      </c>
    </row>
    <row r="133" spans="1:20">
      <c r="A133">
        <v>2016</v>
      </c>
      <c r="B133" s="15" t="s">
        <v>148</v>
      </c>
      <c r="C133">
        <v>2000</v>
      </c>
      <c r="D133" s="15" t="s">
        <v>90</v>
      </c>
      <c r="E133">
        <v>272668.95</v>
      </c>
      <c r="F133">
        <v>272668.95</v>
      </c>
      <c r="G133">
        <v>221491.28</v>
      </c>
      <c r="H133">
        <v>2610</v>
      </c>
      <c r="I133" s="6" t="s">
        <v>97</v>
      </c>
      <c r="J133" s="5">
        <v>100000</v>
      </c>
      <c r="K133">
        <v>107862.62</v>
      </c>
      <c r="L133" s="5">
        <f>407413.26-300701.46</f>
        <v>106711.79999999999</v>
      </c>
      <c r="M133" s="14">
        <v>126</v>
      </c>
      <c r="Q133" s="20" t="s">
        <v>150</v>
      </c>
      <c r="S133" s="6" t="s">
        <v>75</v>
      </c>
      <c r="T133">
        <v>2016</v>
      </c>
    </row>
    <row r="134" spans="1:20">
      <c r="A134">
        <v>2016</v>
      </c>
      <c r="B134" s="15" t="s">
        <v>148</v>
      </c>
      <c r="C134">
        <v>2000</v>
      </c>
      <c r="D134" s="15" t="s">
        <v>90</v>
      </c>
      <c r="E134">
        <v>272668.95</v>
      </c>
      <c r="F134">
        <v>272668.95</v>
      </c>
      <c r="G134">
        <v>221491.28</v>
      </c>
      <c r="H134">
        <v>2900</v>
      </c>
      <c r="I134" s="6" t="s">
        <v>99</v>
      </c>
      <c r="J134">
        <v>57734.25</v>
      </c>
      <c r="K134">
        <v>49734.25</v>
      </c>
      <c r="L134">
        <f>110605.64-87056.38</f>
        <v>23549.259999999995</v>
      </c>
      <c r="M134" s="14">
        <v>127</v>
      </c>
      <c r="Q134" s="20" t="s">
        <v>150</v>
      </c>
      <c r="S134" s="6" t="s">
        <v>75</v>
      </c>
      <c r="T134">
        <v>2016</v>
      </c>
    </row>
    <row r="135" spans="1:20">
      <c r="A135">
        <v>2016</v>
      </c>
      <c r="B135" s="15" t="s">
        <v>148</v>
      </c>
      <c r="C135">
        <v>3000</v>
      </c>
      <c r="D135" s="15" t="s">
        <v>107</v>
      </c>
      <c r="E135" s="5">
        <v>975523.54203333356</v>
      </c>
      <c r="F135">
        <v>730332.71000000008</v>
      </c>
      <c r="G135">
        <f>3546493.53-2431144.41</f>
        <v>1115349.1199999996</v>
      </c>
      <c r="H135">
        <v>3110</v>
      </c>
      <c r="I135" s="6" t="s">
        <v>108</v>
      </c>
      <c r="J135" s="5">
        <v>198039.5575</v>
      </c>
      <c r="K135" s="5">
        <v>172985.5575</v>
      </c>
      <c r="L135">
        <f>718034.91-523203.14</f>
        <v>194831.77000000002</v>
      </c>
      <c r="M135" s="14">
        <v>128</v>
      </c>
      <c r="Q135" s="20" t="s">
        <v>150</v>
      </c>
      <c r="S135" s="6" t="s">
        <v>75</v>
      </c>
      <c r="T135">
        <v>2016</v>
      </c>
    </row>
    <row r="136" spans="1:20">
      <c r="A136">
        <v>2016</v>
      </c>
      <c r="B136" s="15" t="s">
        <v>148</v>
      </c>
      <c r="C136">
        <v>3000</v>
      </c>
      <c r="D136" s="15" t="s">
        <v>107</v>
      </c>
      <c r="E136">
        <v>975523.54</v>
      </c>
      <c r="F136">
        <v>730332.71</v>
      </c>
      <c r="G136">
        <v>1115349.1200000001</v>
      </c>
      <c r="H136">
        <v>3220</v>
      </c>
      <c r="I136" s="6" t="s">
        <v>114</v>
      </c>
      <c r="J136" s="5">
        <v>342631.41249999998</v>
      </c>
      <c r="K136" s="5">
        <v>356631.41249999998</v>
      </c>
      <c r="L136">
        <f>1335914.34-998539.52</f>
        <v>337374.82000000007</v>
      </c>
      <c r="M136" s="14">
        <v>129</v>
      </c>
      <c r="Q136" s="20" t="s">
        <v>150</v>
      </c>
      <c r="S136" s="6" t="s">
        <v>75</v>
      </c>
      <c r="T136">
        <v>2016</v>
      </c>
    </row>
    <row r="137" spans="1:20">
      <c r="A137">
        <v>2016</v>
      </c>
      <c r="B137" s="15" t="s">
        <v>148</v>
      </c>
      <c r="C137">
        <v>3000</v>
      </c>
      <c r="D137" s="15" t="s">
        <v>107</v>
      </c>
      <c r="E137">
        <v>975523.54</v>
      </c>
      <c r="F137">
        <v>730332.71</v>
      </c>
      <c r="G137">
        <v>1115349.1200000001</v>
      </c>
      <c r="H137">
        <v>3310</v>
      </c>
      <c r="I137" s="6" t="s">
        <v>117</v>
      </c>
      <c r="J137" s="5">
        <v>43803.214999999997</v>
      </c>
      <c r="K137" s="5">
        <v>32310.924999999996</v>
      </c>
      <c r="L137">
        <f>131948.88-81791.94</f>
        <v>50156.94</v>
      </c>
      <c r="M137" s="14">
        <v>130</v>
      </c>
      <c r="Q137" s="20" t="s">
        <v>150</v>
      </c>
      <c r="S137" s="6" t="s">
        <v>75</v>
      </c>
      <c r="T137">
        <v>2016</v>
      </c>
    </row>
    <row r="138" spans="1:20">
      <c r="A138">
        <v>2016</v>
      </c>
      <c r="B138" s="15" t="s">
        <v>148</v>
      </c>
      <c r="C138">
        <v>3000</v>
      </c>
      <c r="D138" s="15" t="s">
        <v>107</v>
      </c>
      <c r="E138">
        <v>975523.54</v>
      </c>
      <c r="F138">
        <v>730332.71</v>
      </c>
      <c r="G138">
        <v>1115349.1200000001</v>
      </c>
      <c r="H138">
        <v>3410</v>
      </c>
      <c r="I138" s="6" t="s">
        <v>123</v>
      </c>
      <c r="J138" s="5">
        <v>26400</v>
      </c>
      <c r="K138">
        <v>17892.29</v>
      </c>
      <c r="L138">
        <f>85868.71-58363.52</f>
        <v>27505.19000000001</v>
      </c>
      <c r="M138" s="14">
        <v>131</v>
      </c>
      <c r="Q138" s="20" t="s">
        <v>150</v>
      </c>
      <c r="S138" s="6" t="s">
        <v>75</v>
      </c>
      <c r="T138">
        <v>2016</v>
      </c>
    </row>
    <row r="139" spans="1:20">
      <c r="A139">
        <v>2016</v>
      </c>
      <c r="B139" s="15" t="s">
        <v>148</v>
      </c>
      <c r="C139">
        <v>3000</v>
      </c>
      <c r="D139" s="15" t="s">
        <v>107</v>
      </c>
      <c r="E139">
        <v>975523.54</v>
      </c>
      <c r="F139">
        <v>730332.71</v>
      </c>
      <c r="G139">
        <v>1115349.1200000001</v>
      </c>
      <c r="H139">
        <v>3500</v>
      </c>
      <c r="I139" s="6" t="s">
        <v>126</v>
      </c>
      <c r="J139" s="5">
        <v>57012.525000000001</v>
      </c>
      <c r="K139" s="5">
        <v>48012.525000000001</v>
      </c>
      <c r="L139">
        <f>200290.33-127793.06</f>
        <v>72497.26999999999</v>
      </c>
      <c r="M139" s="14">
        <v>132</v>
      </c>
      <c r="Q139" s="20" t="s">
        <v>150</v>
      </c>
      <c r="S139" s="6" t="s">
        <v>75</v>
      </c>
      <c r="T139">
        <v>2016</v>
      </c>
    </row>
    <row r="140" spans="1:20">
      <c r="A140">
        <v>2016</v>
      </c>
      <c r="B140" s="15" t="s">
        <v>148</v>
      </c>
      <c r="C140">
        <v>3000</v>
      </c>
      <c r="D140" s="15" t="s">
        <v>107</v>
      </c>
      <c r="E140">
        <v>975523.54</v>
      </c>
      <c r="F140">
        <v>730332.71</v>
      </c>
      <c r="G140">
        <v>1115349.1200000001</v>
      </c>
      <c r="H140">
        <v>3610</v>
      </c>
      <c r="I140" s="6" t="s">
        <v>133</v>
      </c>
      <c r="J140" s="5">
        <v>40642.474999999999</v>
      </c>
      <c r="L140">
        <v>47073.4</v>
      </c>
      <c r="M140" s="14">
        <v>133</v>
      </c>
      <c r="Q140" s="20" t="s">
        <v>150</v>
      </c>
      <c r="S140" s="6" t="s">
        <v>75</v>
      </c>
      <c r="T140">
        <v>2016</v>
      </c>
    </row>
    <row r="141" spans="1:20">
      <c r="A141">
        <v>2016</v>
      </c>
      <c r="B141" s="15" t="s">
        <v>148</v>
      </c>
      <c r="C141">
        <v>3000</v>
      </c>
      <c r="D141" s="15" t="s">
        <v>107</v>
      </c>
      <c r="E141">
        <v>975523.54</v>
      </c>
      <c r="F141">
        <v>730332.71</v>
      </c>
      <c r="G141">
        <v>1115349.1200000001</v>
      </c>
      <c r="H141">
        <v>3750</v>
      </c>
      <c r="I141" s="6" t="s">
        <v>146</v>
      </c>
      <c r="J141" s="5">
        <v>93750</v>
      </c>
      <c r="L141">
        <f>279453.55-168465.2</f>
        <v>110988.34999999998</v>
      </c>
      <c r="M141" s="14">
        <v>134</v>
      </c>
      <c r="Q141" s="20" t="s">
        <v>150</v>
      </c>
      <c r="S141" s="6" t="s">
        <v>75</v>
      </c>
      <c r="T141">
        <v>2016</v>
      </c>
    </row>
    <row r="142" spans="1:20">
      <c r="A142">
        <v>2016</v>
      </c>
      <c r="B142" s="15" t="s">
        <v>148</v>
      </c>
      <c r="C142">
        <v>3000</v>
      </c>
      <c r="D142" s="15" t="s">
        <v>107</v>
      </c>
      <c r="E142">
        <v>975523.54</v>
      </c>
      <c r="F142">
        <v>730332.71</v>
      </c>
      <c r="G142">
        <v>1115349.1200000001</v>
      </c>
      <c r="H142">
        <v>3820</v>
      </c>
      <c r="I142" s="6" t="s">
        <v>138</v>
      </c>
      <c r="J142" s="5">
        <v>62500</v>
      </c>
      <c r="K142" s="5">
        <v>102500</v>
      </c>
      <c r="L142">
        <f>285538.56-140713.43</f>
        <v>144825.13</v>
      </c>
      <c r="M142" s="14">
        <v>135</v>
      </c>
      <c r="Q142" s="20" t="s">
        <v>150</v>
      </c>
      <c r="S142" s="6" t="s">
        <v>75</v>
      </c>
      <c r="T142">
        <v>2016</v>
      </c>
    </row>
    <row r="143" spans="1:20">
      <c r="A143">
        <v>2016</v>
      </c>
      <c r="B143" s="15" t="s">
        <v>148</v>
      </c>
      <c r="C143">
        <v>3000</v>
      </c>
      <c r="D143" s="15" t="s">
        <v>107</v>
      </c>
      <c r="E143">
        <v>975523.54</v>
      </c>
      <c r="F143">
        <v>730332.71</v>
      </c>
      <c r="G143">
        <v>1115349.1200000001</v>
      </c>
      <c r="H143">
        <v>3960</v>
      </c>
      <c r="I143" s="6" t="s">
        <v>141</v>
      </c>
      <c r="J143" s="5">
        <v>110744.35703333333</v>
      </c>
      <c r="L143">
        <f>401505.65-271409.4</f>
        <v>130096.25</v>
      </c>
    </row>
  </sheetData>
  <mergeCells count="1">
    <mergeCell ref="A6:V6"/>
  </mergeCells>
  <hyperlinks>
    <hyperlink ref="Q76" r:id="rId1"/>
    <hyperlink ref="Q77" r:id="rId2"/>
    <hyperlink ref="Q78" r:id="rId3"/>
    <hyperlink ref="Q79" r:id="rId4"/>
    <hyperlink ref="Q80" r:id="rId5"/>
    <hyperlink ref="Q81" r:id="rId6"/>
    <hyperlink ref="Q82" r:id="rId7"/>
    <hyperlink ref="Q83" r:id="rId8"/>
    <hyperlink ref="Q84" r:id="rId9"/>
    <hyperlink ref="Q85" r:id="rId10"/>
    <hyperlink ref="Q86" r:id="rId11"/>
    <hyperlink ref="Q87" r:id="rId12"/>
    <hyperlink ref="Q88" r:id="rId13"/>
    <hyperlink ref="Q89" r:id="rId14"/>
    <hyperlink ref="Q90" r:id="rId15"/>
    <hyperlink ref="Q91" r:id="rId16"/>
    <hyperlink ref="Q92" r:id="rId17"/>
    <hyperlink ref="Q93" r:id="rId18"/>
    <hyperlink ref="Q94" r:id="rId19"/>
    <hyperlink ref="Q95" r:id="rId20"/>
    <hyperlink ref="Q96" r:id="rId21"/>
    <hyperlink ref="Q97" r:id="rId22"/>
    <hyperlink ref="Q98" r:id="rId23"/>
    <hyperlink ref="Q99" r:id="rId24"/>
    <hyperlink ref="Q100" r:id="rId25"/>
    <hyperlink ref="Q101" r:id="rId26"/>
    <hyperlink ref="Q102" r:id="rId27"/>
    <hyperlink ref="Q103" r:id="rId28"/>
    <hyperlink ref="Q104" r:id="rId29"/>
    <hyperlink ref="Q105" r:id="rId30"/>
    <hyperlink ref="Q106" r:id="rId31"/>
    <hyperlink ref="Q107" r:id="rId32"/>
    <hyperlink ref="Q108" r:id="rId33"/>
    <hyperlink ref="Q109" r:id="rId34"/>
    <hyperlink ref="Q110" r:id="rId35"/>
    <hyperlink ref="Q111" r:id="rId36"/>
    <hyperlink ref="Q112" r:id="rId37"/>
    <hyperlink ref="Q113" r:id="rId38"/>
    <hyperlink ref="Q114" r:id="rId39"/>
    <hyperlink ref="Q115" r:id="rId40"/>
    <hyperlink ref="Q116" r:id="rId41"/>
    <hyperlink ref="Q117" r:id="rId42"/>
    <hyperlink ref="Q118" r:id="rId43"/>
    <hyperlink ref="Q119" r:id="rId44"/>
    <hyperlink ref="Q120" r:id="rId45"/>
    <hyperlink ref="Q121" r:id="rId46"/>
    <hyperlink ref="Q122" r:id="rId47"/>
    <hyperlink ref="Q123" r:id="rId48"/>
    <hyperlink ref="Q124" r:id="rId49"/>
    <hyperlink ref="Q125" r:id="rId50"/>
    <hyperlink ref="Q126" r:id="rId51"/>
    <hyperlink ref="Q127" r:id="rId52"/>
    <hyperlink ref="Q128" r:id="rId53"/>
    <hyperlink ref="Q129" r:id="rId54"/>
    <hyperlink ref="Q130" r:id="rId55"/>
    <hyperlink ref="Q131" r:id="rId56"/>
    <hyperlink ref="Q132" r:id="rId57"/>
    <hyperlink ref="Q133" r:id="rId58"/>
    <hyperlink ref="Q134" r:id="rId59"/>
    <hyperlink ref="Q135" r:id="rId60"/>
    <hyperlink ref="Q136" r:id="rId61"/>
    <hyperlink ref="Q137" r:id="rId62"/>
    <hyperlink ref="Q138" r:id="rId63"/>
    <hyperlink ref="Q139" r:id="rId64"/>
    <hyperlink ref="Q140" r:id="rId65"/>
    <hyperlink ref="Q141" r:id="rId66"/>
    <hyperlink ref="Q142" r:id="rId67"/>
  </hyperlinks>
  <pageMargins left="0" right="0" top="0.98425196850393704" bottom="0.98425196850393704" header="0.51181102362204722" footer="0.51181102362204722"/>
  <pageSetup paperSize="5" scale="80" orientation="landscape" horizontalDpi="300" verticalDpi="300" r:id="rId6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3"/>
  <sheetViews>
    <sheetView topLeftCell="A456" workbookViewId="0">
      <selection activeCell="D482" sqref="D482"/>
    </sheetView>
  </sheetViews>
  <sheetFormatPr baseColWidth="10" defaultColWidth="9.140625" defaultRowHeight="12.75"/>
  <cols>
    <col min="1" max="1" width="4" bestFit="1" customWidth="1"/>
    <col min="2" max="2" width="10.5703125" customWidth="1"/>
    <col min="3" max="3" width="65.140625" bestFit="1" customWidth="1"/>
    <col min="4" max="4" width="35.85546875" bestFit="1" customWidth="1"/>
    <col min="5" max="5" width="25.28515625" customWidth="1"/>
    <col min="6" max="6" width="35" bestFit="1" customWidth="1"/>
  </cols>
  <sheetData>
    <row r="1" spans="1:6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>
      <c r="A4">
        <v>1</v>
      </c>
      <c r="B4">
        <v>1130</v>
      </c>
      <c r="C4" t="s">
        <v>72</v>
      </c>
      <c r="D4">
        <v>1631210.8199999998</v>
      </c>
      <c r="F4">
        <v>1542752.95</v>
      </c>
    </row>
    <row r="5" spans="1:6">
      <c r="A5">
        <v>1</v>
      </c>
      <c r="C5" s="4" t="s">
        <v>79</v>
      </c>
      <c r="D5">
        <v>1631210.82</v>
      </c>
      <c r="F5">
        <v>1542752.95</v>
      </c>
    </row>
    <row r="6" spans="1:6">
      <c r="A6">
        <v>2</v>
      </c>
      <c r="B6">
        <v>1340</v>
      </c>
      <c r="C6" s="4" t="s">
        <v>76</v>
      </c>
      <c r="D6">
        <v>2079812.51</v>
      </c>
      <c r="E6" s="4" t="s">
        <v>73</v>
      </c>
      <c r="F6" s="4">
        <v>2009812.84</v>
      </c>
    </row>
    <row r="7" spans="1:6">
      <c r="A7">
        <v>2</v>
      </c>
      <c r="C7" s="6" t="s">
        <v>80</v>
      </c>
      <c r="D7">
        <v>0</v>
      </c>
      <c r="E7" s="4"/>
      <c r="F7" s="6">
        <v>0</v>
      </c>
    </row>
    <row r="8" spans="1:6">
      <c r="A8">
        <v>2</v>
      </c>
      <c r="C8" s="6" t="s">
        <v>81</v>
      </c>
      <c r="D8" s="5">
        <v>12500</v>
      </c>
      <c r="E8" s="4"/>
      <c r="F8" s="7">
        <v>6196.1</v>
      </c>
    </row>
    <row r="9" spans="1:6">
      <c r="A9">
        <v>2</v>
      </c>
      <c r="C9" s="6" t="s">
        <v>82</v>
      </c>
      <c r="D9">
        <v>2067312.51</v>
      </c>
      <c r="E9" s="4"/>
      <c r="F9" s="7">
        <v>2003616.74</v>
      </c>
    </row>
    <row r="10" spans="1:6">
      <c r="A10">
        <v>3</v>
      </c>
      <c r="B10">
        <v>1410</v>
      </c>
      <c r="C10" s="6" t="s">
        <v>83</v>
      </c>
      <c r="D10">
        <v>326792.67</v>
      </c>
      <c r="F10" s="7">
        <v>363143.8</v>
      </c>
    </row>
    <row r="11" spans="1:6">
      <c r="A11">
        <v>3</v>
      </c>
      <c r="C11" s="8" t="s">
        <v>84</v>
      </c>
      <c r="D11">
        <v>326792.67</v>
      </c>
      <c r="F11" s="7">
        <v>363143.8</v>
      </c>
    </row>
    <row r="12" spans="1:6">
      <c r="A12">
        <v>4</v>
      </c>
      <c r="B12">
        <v>1590</v>
      </c>
      <c r="C12" s="9" t="s">
        <v>85</v>
      </c>
      <c r="D12" s="5">
        <v>352204</v>
      </c>
      <c r="F12" s="7">
        <v>344997</v>
      </c>
    </row>
    <row r="13" spans="1:6">
      <c r="A13">
        <v>4</v>
      </c>
      <c r="C13" s="9" t="s">
        <v>86</v>
      </c>
      <c r="D13" s="5">
        <v>167116</v>
      </c>
      <c r="F13" s="7">
        <v>159041</v>
      </c>
    </row>
    <row r="14" spans="1:6">
      <c r="A14">
        <v>4</v>
      </c>
      <c r="C14" s="9" t="s">
        <v>87</v>
      </c>
      <c r="D14" s="5">
        <v>185088</v>
      </c>
      <c r="F14" s="7">
        <v>185956</v>
      </c>
    </row>
    <row r="15" spans="1:6">
      <c r="A15">
        <v>5</v>
      </c>
      <c r="B15">
        <v>1710</v>
      </c>
      <c r="C15" s="9" t="s">
        <v>88</v>
      </c>
      <c r="D15">
        <v>171982.08000000002</v>
      </c>
      <c r="E15" s="4" t="s">
        <v>73</v>
      </c>
      <c r="F15" s="7">
        <v>45099.199999999997</v>
      </c>
    </row>
    <row r="16" spans="1:6">
      <c r="A16">
        <v>5</v>
      </c>
      <c r="C16" s="12" t="s">
        <v>89</v>
      </c>
      <c r="D16">
        <v>171982.08000000002</v>
      </c>
      <c r="F16" s="7">
        <v>45099.199999999997</v>
      </c>
    </row>
    <row r="17" spans="1:6">
      <c r="A17">
        <v>6</v>
      </c>
      <c r="B17">
        <v>2110</v>
      </c>
      <c r="C17" s="12" t="s">
        <v>92</v>
      </c>
      <c r="D17">
        <v>125852.63</v>
      </c>
      <c r="F17" s="7">
        <v>96530.11</v>
      </c>
    </row>
    <row r="18" spans="1:6">
      <c r="A18">
        <v>6</v>
      </c>
      <c r="C18" s="12" t="s">
        <v>93</v>
      </c>
      <c r="D18" s="5">
        <v>59400</v>
      </c>
      <c r="F18" s="7">
        <v>55131.22</v>
      </c>
    </row>
    <row r="19" spans="1:6">
      <c r="A19">
        <v>6</v>
      </c>
      <c r="C19" s="12" t="s">
        <v>94</v>
      </c>
      <c r="D19" s="5">
        <v>38225</v>
      </c>
      <c r="F19" s="7">
        <v>30347.26</v>
      </c>
    </row>
    <row r="20" spans="1:6">
      <c r="A20">
        <v>6</v>
      </c>
      <c r="C20" s="12" t="s">
        <v>95</v>
      </c>
      <c r="D20">
        <v>14477.629999999997</v>
      </c>
      <c r="F20" s="7">
        <v>0</v>
      </c>
    </row>
    <row r="21" spans="1:6">
      <c r="A21">
        <v>6</v>
      </c>
      <c r="C21" s="12" t="s">
        <v>96</v>
      </c>
      <c r="D21" s="5">
        <v>13750</v>
      </c>
      <c r="F21" s="7">
        <v>11051.63</v>
      </c>
    </row>
    <row r="22" spans="1:6">
      <c r="A22">
        <v>7</v>
      </c>
      <c r="B22">
        <v>2610</v>
      </c>
      <c r="C22" s="12" t="s">
        <v>97</v>
      </c>
      <c r="D22">
        <v>79191.820000000007</v>
      </c>
      <c r="F22" s="7">
        <v>108743.06</v>
      </c>
    </row>
    <row r="23" spans="1:6">
      <c r="A23">
        <v>7</v>
      </c>
      <c r="C23" s="12" t="s">
        <v>98</v>
      </c>
      <c r="D23" s="5">
        <v>79191.820000000007</v>
      </c>
      <c r="F23" s="7">
        <v>108743.06</v>
      </c>
    </row>
    <row r="24" spans="1:6">
      <c r="A24">
        <v>8</v>
      </c>
      <c r="B24">
        <v>2900</v>
      </c>
      <c r="C24" s="12" t="s">
        <v>101</v>
      </c>
      <c r="D24" s="5">
        <v>67624.5</v>
      </c>
      <c r="F24" s="7">
        <v>21373.63</v>
      </c>
    </row>
    <row r="25" spans="1:6">
      <c r="A25">
        <v>8</v>
      </c>
      <c r="C25" s="12" t="s">
        <v>102</v>
      </c>
      <c r="D25">
        <v>6421.75</v>
      </c>
      <c r="F25" s="7">
        <v>324.42</v>
      </c>
    </row>
    <row r="26" spans="1:6">
      <c r="A26">
        <v>8</v>
      </c>
      <c r="C26" s="12" t="s">
        <v>103</v>
      </c>
      <c r="D26" s="5">
        <v>6875</v>
      </c>
      <c r="F26" s="7">
        <v>9225.77</v>
      </c>
    </row>
    <row r="27" spans="1:6">
      <c r="A27">
        <v>8</v>
      </c>
      <c r="C27" s="12" t="s">
        <v>104</v>
      </c>
      <c r="D27">
        <v>19265.25</v>
      </c>
      <c r="E27" s="4" t="s">
        <v>73</v>
      </c>
      <c r="F27" s="7">
        <v>4050</v>
      </c>
    </row>
    <row r="28" spans="1:6">
      <c r="A28">
        <v>8</v>
      </c>
      <c r="C28" s="12" t="s">
        <v>105</v>
      </c>
      <c r="D28" s="5">
        <v>14437.5</v>
      </c>
      <c r="F28" s="7">
        <v>3423.44</v>
      </c>
    </row>
    <row r="29" spans="1:6">
      <c r="A29">
        <v>8</v>
      </c>
      <c r="C29" s="12" t="s">
        <v>106</v>
      </c>
      <c r="D29" s="5">
        <v>20625</v>
      </c>
      <c r="F29" s="7">
        <v>4350</v>
      </c>
    </row>
    <row r="30" spans="1:6">
      <c r="A30">
        <v>9</v>
      </c>
      <c r="B30">
        <v>3110</v>
      </c>
      <c r="C30" s="12" t="s">
        <v>108</v>
      </c>
      <c r="D30" s="5">
        <v>196650</v>
      </c>
      <c r="F30" s="4">
        <v>151219.72</v>
      </c>
    </row>
    <row r="31" spans="1:6">
      <c r="A31">
        <v>9</v>
      </c>
      <c r="C31" s="12" t="s">
        <v>109</v>
      </c>
      <c r="D31" s="5">
        <v>81375</v>
      </c>
      <c r="F31" s="7">
        <v>46430</v>
      </c>
    </row>
    <row r="32" spans="1:6">
      <c r="A32">
        <v>9</v>
      </c>
      <c r="C32" s="12" t="s">
        <v>110</v>
      </c>
      <c r="D32" s="5">
        <v>8400</v>
      </c>
      <c r="F32" s="7">
        <v>10386.799999999999</v>
      </c>
    </row>
    <row r="33" spans="1:6">
      <c r="A33">
        <v>9</v>
      </c>
      <c r="C33" s="12" t="s">
        <v>111</v>
      </c>
      <c r="D33" s="5">
        <v>75000</v>
      </c>
      <c r="F33" s="7">
        <v>59057</v>
      </c>
    </row>
    <row r="34" spans="1:6">
      <c r="A34">
        <v>9</v>
      </c>
      <c r="C34" s="12" t="s">
        <v>112</v>
      </c>
      <c r="D34" s="5">
        <v>3000</v>
      </c>
      <c r="F34" s="7">
        <v>2321</v>
      </c>
    </row>
    <row r="35" spans="1:6">
      <c r="A35">
        <v>9</v>
      </c>
      <c r="C35" s="12" t="s">
        <v>113</v>
      </c>
      <c r="D35" s="5">
        <v>28875</v>
      </c>
      <c r="F35" s="7">
        <v>33024.92</v>
      </c>
    </row>
    <row r="36" spans="1:6">
      <c r="A36">
        <v>10</v>
      </c>
      <c r="B36">
        <v>3220</v>
      </c>
      <c r="C36" s="12" t="s">
        <v>114</v>
      </c>
      <c r="D36">
        <v>342631.41</v>
      </c>
      <c r="F36" s="7">
        <v>328715.03999999998</v>
      </c>
    </row>
    <row r="37" spans="1:6">
      <c r="A37">
        <v>10</v>
      </c>
      <c r="C37" s="12" t="s">
        <v>116</v>
      </c>
      <c r="D37">
        <v>317631.40999999997</v>
      </c>
      <c r="F37" s="7">
        <v>304007.03999999998</v>
      </c>
    </row>
    <row r="38" spans="1:6">
      <c r="A38">
        <v>10</v>
      </c>
      <c r="C38" s="12" t="s">
        <v>115</v>
      </c>
      <c r="D38" s="5">
        <v>25000</v>
      </c>
      <c r="F38" s="7">
        <v>24708</v>
      </c>
    </row>
    <row r="39" spans="1:6">
      <c r="A39">
        <v>11</v>
      </c>
      <c r="B39">
        <v>3310</v>
      </c>
      <c r="C39" s="12" t="s">
        <v>118</v>
      </c>
      <c r="D39">
        <v>43803.21</v>
      </c>
      <c r="F39" s="7">
        <v>63287.08</v>
      </c>
    </row>
    <row r="40" spans="1:6">
      <c r="A40">
        <v>11</v>
      </c>
      <c r="C40" s="12" t="s">
        <v>119</v>
      </c>
      <c r="D40" s="5">
        <v>17500</v>
      </c>
      <c r="F40" s="7">
        <v>1500</v>
      </c>
    </row>
    <row r="41" spans="1:6">
      <c r="A41">
        <v>11</v>
      </c>
      <c r="C41" s="9" t="s">
        <v>120</v>
      </c>
      <c r="D41" s="5">
        <v>2500</v>
      </c>
      <c r="F41" s="7">
        <v>0</v>
      </c>
    </row>
    <row r="42" spans="1:6">
      <c r="A42">
        <v>11</v>
      </c>
      <c r="C42" s="12" t="s">
        <v>121</v>
      </c>
      <c r="D42" s="5">
        <v>5000</v>
      </c>
      <c r="F42" s="7">
        <v>0</v>
      </c>
    </row>
    <row r="43" spans="1:6">
      <c r="A43">
        <v>11</v>
      </c>
      <c r="C43" s="12" t="s">
        <v>122</v>
      </c>
      <c r="D43">
        <v>18803.21</v>
      </c>
      <c r="F43" s="7">
        <v>61787.08</v>
      </c>
    </row>
    <row r="44" spans="1:6">
      <c r="A44">
        <v>12</v>
      </c>
      <c r="B44">
        <v>3410</v>
      </c>
      <c r="C44" s="12" t="s">
        <v>123</v>
      </c>
      <c r="D44" s="5">
        <v>26400</v>
      </c>
      <c r="F44" s="7">
        <v>4439.92</v>
      </c>
    </row>
    <row r="45" spans="1:6">
      <c r="A45">
        <v>12</v>
      </c>
      <c r="C45" s="12" t="s">
        <v>124</v>
      </c>
      <c r="D45" s="5">
        <v>8250</v>
      </c>
      <c r="F45" s="7">
        <v>4439.92</v>
      </c>
    </row>
    <row r="46" spans="1:6">
      <c r="A46">
        <v>12</v>
      </c>
      <c r="C46" s="12" t="s">
        <v>125</v>
      </c>
      <c r="D46" s="5">
        <v>18150</v>
      </c>
      <c r="F46" s="7">
        <v>0</v>
      </c>
    </row>
    <row r="47" spans="1:6">
      <c r="A47">
        <v>13</v>
      </c>
      <c r="B47">
        <v>3500</v>
      </c>
      <c r="C47" s="12" t="s">
        <v>127</v>
      </c>
      <c r="D47">
        <v>57012.52</v>
      </c>
      <c r="F47" s="7">
        <v>20772.759999999998</v>
      </c>
    </row>
    <row r="48" spans="1:6">
      <c r="A48">
        <v>13</v>
      </c>
      <c r="C48" s="12" t="s">
        <v>128</v>
      </c>
      <c r="D48" s="5">
        <v>7350</v>
      </c>
      <c r="F48" s="7">
        <v>11136</v>
      </c>
    </row>
    <row r="49" spans="1:6">
      <c r="A49">
        <v>13</v>
      </c>
      <c r="C49" s="12" t="s">
        <v>129</v>
      </c>
      <c r="D49">
        <v>13998.01</v>
      </c>
      <c r="F49" s="7">
        <v>1160</v>
      </c>
    </row>
    <row r="50" spans="1:6">
      <c r="A50">
        <v>13</v>
      </c>
      <c r="C50" s="12" t="s">
        <v>130</v>
      </c>
      <c r="D50" s="5">
        <v>13998.01</v>
      </c>
      <c r="F50" s="7">
        <v>7687.96</v>
      </c>
    </row>
    <row r="51" spans="1:6">
      <c r="A51">
        <v>13</v>
      </c>
      <c r="C51" s="12" t="s">
        <v>131</v>
      </c>
      <c r="D51" s="5">
        <v>16666.5</v>
      </c>
      <c r="F51" s="7">
        <v>788.8</v>
      </c>
    </row>
    <row r="52" spans="1:6">
      <c r="A52">
        <v>13</v>
      </c>
      <c r="C52" s="12" t="s">
        <v>132</v>
      </c>
      <c r="D52" s="5">
        <v>5000</v>
      </c>
      <c r="F52" s="7">
        <v>0</v>
      </c>
    </row>
    <row r="53" spans="1:6">
      <c r="A53">
        <v>14</v>
      </c>
      <c r="B53">
        <v>3610</v>
      </c>
      <c r="C53" s="12" t="s">
        <v>133</v>
      </c>
      <c r="D53">
        <v>40642.47</v>
      </c>
      <c r="F53" s="7">
        <v>9767</v>
      </c>
    </row>
    <row r="54" spans="1:6">
      <c r="A54">
        <v>14</v>
      </c>
      <c r="C54" s="12" t="s">
        <v>134</v>
      </c>
      <c r="D54" s="5">
        <v>40642.47</v>
      </c>
      <c r="F54" s="7">
        <v>9767</v>
      </c>
    </row>
    <row r="55" spans="1:6">
      <c r="A55">
        <v>15</v>
      </c>
      <c r="B55">
        <v>3750</v>
      </c>
      <c r="C55" s="12" t="s">
        <v>135</v>
      </c>
      <c r="D55" s="5">
        <v>93750</v>
      </c>
      <c r="F55" s="7">
        <v>24312.81</v>
      </c>
    </row>
    <row r="56" spans="1:6">
      <c r="A56">
        <v>15</v>
      </c>
      <c r="C56" s="12" t="s">
        <v>136</v>
      </c>
      <c r="D56" s="5">
        <v>28750</v>
      </c>
      <c r="F56" s="7">
        <v>8226</v>
      </c>
    </row>
    <row r="57" spans="1:6">
      <c r="A57">
        <v>15</v>
      </c>
      <c r="C57" s="12" t="s">
        <v>137</v>
      </c>
      <c r="D57" s="5">
        <v>65000</v>
      </c>
      <c r="F57" s="7">
        <v>16086.81</v>
      </c>
    </row>
    <row r="58" spans="1:6">
      <c r="A58">
        <v>16</v>
      </c>
      <c r="B58">
        <v>3820</v>
      </c>
      <c r="C58" s="12" t="s">
        <v>139</v>
      </c>
      <c r="D58" s="5">
        <v>75000</v>
      </c>
      <c r="F58" s="7">
        <v>54480.27</v>
      </c>
    </row>
    <row r="59" spans="1:6">
      <c r="A59">
        <v>16</v>
      </c>
      <c r="C59" s="12" t="s">
        <v>140</v>
      </c>
      <c r="D59" s="5">
        <v>75000</v>
      </c>
      <c r="F59" s="7">
        <v>54480.27</v>
      </c>
    </row>
    <row r="60" spans="1:6">
      <c r="A60">
        <v>17</v>
      </c>
      <c r="B60">
        <v>3960</v>
      </c>
      <c r="C60" s="12" t="s">
        <v>141</v>
      </c>
      <c r="D60" s="5">
        <v>96904.9</v>
      </c>
      <c r="F60" s="7">
        <v>82976.850000000006</v>
      </c>
    </row>
    <row r="61" spans="1:6">
      <c r="A61">
        <v>17</v>
      </c>
      <c r="C61" s="12" t="s">
        <v>142</v>
      </c>
      <c r="D61" s="5">
        <v>7500</v>
      </c>
      <c r="F61" s="7">
        <v>11144</v>
      </c>
    </row>
    <row r="62" spans="1:6">
      <c r="A62">
        <v>17</v>
      </c>
      <c r="C62" s="12" t="s">
        <v>143</v>
      </c>
      <c r="D62" s="5">
        <v>4075</v>
      </c>
      <c r="F62" s="7">
        <v>0</v>
      </c>
    </row>
    <row r="63" spans="1:6">
      <c r="A63">
        <v>17</v>
      </c>
      <c r="C63" s="12" t="s">
        <v>144</v>
      </c>
      <c r="D63">
        <v>85329.89</v>
      </c>
      <c r="F63" s="7">
        <v>71832.850000000006</v>
      </c>
    </row>
    <row r="64" spans="1:6">
      <c r="A64">
        <v>18</v>
      </c>
      <c r="B64">
        <v>1130</v>
      </c>
      <c r="C64" t="s">
        <v>72</v>
      </c>
      <c r="D64">
        <v>1631210.8199999998</v>
      </c>
      <c r="E64" s="4" t="s">
        <v>73</v>
      </c>
      <c r="F64">
        <v>1538237.51</v>
      </c>
    </row>
    <row r="65" spans="1:6">
      <c r="A65">
        <v>18</v>
      </c>
      <c r="C65" s="4" t="s">
        <v>79</v>
      </c>
      <c r="D65" s="5">
        <v>1631210.82</v>
      </c>
      <c r="F65" s="7">
        <v>1538237.51</v>
      </c>
    </row>
    <row r="66" spans="1:6">
      <c r="A66">
        <v>19</v>
      </c>
      <c r="B66">
        <v>1340</v>
      </c>
      <c r="C66" s="4" t="s">
        <v>76</v>
      </c>
      <c r="D66">
        <v>2079812.5100000002</v>
      </c>
      <c r="E66" s="4" t="s">
        <v>73</v>
      </c>
      <c r="F66">
        <f>4047739.82-2009812.84</f>
        <v>2037926.9799999997</v>
      </c>
    </row>
    <row r="67" spans="1:6">
      <c r="A67">
        <v>19</v>
      </c>
      <c r="C67" s="6" t="s">
        <v>80</v>
      </c>
      <c r="D67">
        <v>0</v>
      </c>
      <c r="F67" s="7">
        <v>0</v>
      </c>
    </row>
    <row r="68" spans="1:6">
      <c r="A68">
        <v>19</v>
      </c>
      <c r="C68" s="6" t="s">
        <v>81</v>
      </c>
      <c r="D68" s="5">
        <v>12500</v>
      </c>
      <c r="F68">
        <f>14877.42-6196.1</f>
        <v>8681.32</v>
      </c>
    </row>
    <row r="69" spans="1:6">
      <c r="A69">
        <v>19</v>
      </c>
      <c r="C69" s="6" t="s">
        <v>82</v>
      </c>
      <c r="D69">
        <v>2067312.5100000002</v>
      </c>
      <c r="F69">
        <f>4032862.4-2003616.74</f>
        <v>2029245.66</v>
      </c>
    </row>
    <row r="70" spans="1:6">
      <c r="A70">
        <v>20</v>
      </c>
      <c r="B70">
        <v>1410</v>
      </c>
      <c r="C70" s="6" t="s">
        <v>83</v>
      </c>
      <c r="D70">
        <v>326792.68</v>
      </c>
      <c r="F70">
        <f>730591.12-363143.8</f>
        <v>367447.32</v>
      </c>
    </row>
    <row r="71" spans="1:6">
      <c r="A71">
        <v>20</v>
      </c>
      <c r="C71" s="8" t="s">
        <v>84</v>
      </c>
      <c r="D71">
        <v>326792.67</v>
      </c>
      <c r="F71">
        <v>367447.32</v>
      </c>
    </row>
    <row r="72" spans="1:6">
      <c r="A72">
        <v>21</v>
      </c>
      <c r="B72">
        <v>1590</v>
      </c>
      <c r="C72" s="9" t="s">
        <v>85</v>
      </c>
      <c r="D72" s="5">
        <v>354704</v>
      </c>
      <c r="F72">
        <f>688565.57-344997</f>
        <v>343568.56999999995</v>
      </c>
    </row>
    <row r="73" spans="1:6">
      <c r="A73">
        <v>21</v>
      </c>
      <c r="C73" s="9" t="s">
        <v>86</v>
      </c>
      <c r="D73" s="5">
        <v>134616</v>
      </c>
      <c r="F73">
        <f>291093.57-159041</f>
        <v>132052.57</v>
      </c>
    </row>
    <row r="74" spans="1:6">
      <c r="A74">
        <v>21</v>
      </c>
      <c r="C74" s="9" t="s">
        <v>87</v>
      </c>
      <c r="D74" s="5">
        <v>220088</v>
      </c>
      <c r="F74" s="5">
        <f>397472-185956</f>
        <v>211516</v>
      </c>
    </row>
    <row r="75" spans="1:6">
      <c r="A75">
        <v>22</v>
      </c>
      <c r="B75">
        <v>1710</v>
      </c>
      <c r="C75" s="9" t="s">
        <v>88</v>
      </c>
      <c r="D75">
        <v>171982.08000000002</v>
      </c>
      <c r="F75" s="5">
        <f>75799.2-45099.2</f>
        <v>30700</v>
      </c>
    </row>
    <row r="76" spans="1:6">
      <c r="A76">
        <v>22</v>
      </c>
      <c r="C76" s="12" t="s">
        <v>89</v>
      </c>
      <c r="D76" s="5">
        <v>171982.07999999999</v>
      </c>
      <c r="F76" s="5">
        <v>30700</v>
      </c>
    </row>
    <row r="77" spans="1:6">
      <c r="A77">
        <v>23</v>
      </c>
      <c r="B77">
        <v>2110</v>
      </c>
      <c r="C77" s="12" t="s">
        <v>92</v>
      </c>
      <c r="D77">
        <v>125852.63</v>
      </c>
      <c r="E77" s="4" t="s">
        <v>73</v>
      </c>
      <c r="F77">
        <f>182576.26-96530.11</f>
        <v>86046.150000000009</v>
      </c>
    </row>
    <row r="78" spans="1:6">
      <c r="A78">
        <v>23</v>
      </c>
      <c r="C78" s="12" t="s">
        <v>93</v>
      </c>
      <c r="D78" s="5">
        <v>59400</v>
      </c>
      <c r="F78">
        <f>101031.5-55131.22</f>
        <v>45900.28</v>
      </c>
    </row>
    <row r="79" spans="1:6">
      <c r="A79">
        <v>23</v>
      </c>
      <c r="C79" s="12" t="s">
        <v>94</v>
      </c>
      <c r="D79" s="5">
        <v>38225</v>
      </c>
      <c r="F79">
        <f>59344.73-30347.26</f>
        <v>28997.470000000005</v>
      </c>
    </row>
    <row r="80" spans="1:6">
      <c r="A80">
        <v>23</v>
      </c>
      <c r="C80" s="12" t="s">
        <v>95</v>
      </c>
      <c r="D80">
        <v>14477.629999999997</v>
      </c>
      <c r="E80" s="4" t="s">
        <v>73</v>
      </c>
      <c r="F80">
        <v>1032.4000000000001</v>
      </c>
    </row>
    <row r="81" spans="1:6">
      <c r="A81">
        <v>23</v>
      </c>
      <c r="C81" s="12" t="s">
        <v>96</v>
      </c>
      <c r="D81" s="5">
        <v>13750</v>
      </c>
      <c r="F81" s="5">
        <f>21167.63-11051.63</f>
        <v>10116.000000000002</v>
      </c>
    </row>
    <row r="82" spans="1:6">
      <c r="A82">
        <v>24</v>
      </c>
      <c r="B82">
        <v>2610</v>
      </c>
      <c r="C82" s="12" t="s">
        <v>97</v>
      </c>
      <c r="D82">
        <v>79191.820000000007</v>
      </c>
      <c r="F82">
        <f>221566.29-108743.06</f>
        <v>112823.23000000001</v>
      </c>
    </row>
    <row r="83" spans="1:6">
      <c r="A83">
        <v>24</v>
      </c>
      <c r="C83" s="12" t="s">
        <v>98</v>
      </c>
      <c r="D83" s="5">
        <v>79191.820000000007</v>
      </c>
      <c r="F83">
        <v>112823.23</v>
      </c>
    </row>
    <row r="84" spans="1:6">
      <c r="A84">
        <v>25</v>
      </c>
      <c r="B84">
        <v>2900</v>
      </c>
      <c r="C84" s="12" t="s">
        <v>101</v>
      </c>
      <c r="D84" s="5">
        <v>67624.5</v>
      </c>
      <c r="F84">
        <f>28272.06-21373.63</f>
        <v>6898.43</v>
      </c>
    </row>
    <row r="85" spans="1:6">
      <c r="A85">
        <v>25</v>
      </c>
      <c r="C85" s="12" t="s">
        <v>102</v>
      </c>
      <c r="D85">
        <v>6421.75</v>
      </c>
      <c r="F85">
        <f>674.45-324.42</f>
        <v>350.03000000000003</v>
      </c>
    </row>
    <row r="86" spans="1:6">
      <c r="A86">
        <v>25</v>
      </c>
      <c r="C86" s="12" t="s">
        <v>103</v>
      </c>
      <c r="D86" s="5">
        <v>6875</v>
      </c>
      <c r="F86">
        <f>14798.17-9225.77</f>
        <v>5572.4</v>
      </c>
    </row>
    <row r="87" spans="1:6">
      <c r="A87">
        <v>25</v>
      </c>
      <c r="C87" s="12" t="s">
        <v>104</v>
      </c>
      <c r="D87">
        <v>19265.25</v>
      </c>
      <c r="F87">
        <f>4450-4050</f>
        <v>400</v>
      </c>
    </row>
    <row r="88" spans="1:6">
      <c r="A88">
        <v>25</v>
      </c>
      <c r="C88" s="12" t="s">
        <v>105</v>
      </c>
      <c r="D88" s="5">
        <v>14437.5</v>
      </c>
      <c r="F88">
        <f>3999.44-3423.44</f>
        <v>576</v>
      </c>
    </row>
    <row r="89" spans="1:6">
      <c r="A89">
        <v>25</v>
      </c>
      <c r="C89" s="12" t="s">
        <v>106</v>
      </c>
      <c r="D89" s="5">
        <v>20625</v>
      </c>
      <c r="F89">
        <f>4350-4350</f>
        <v>0</v>
      </c>
    </row>
    <row r="90" spans="1:6">
      <c r="A90">
        <v>26</v>
      </c>
      <c r="B90">
        <v>3110</v>
      </c>
      <c r="C90" s="12" t="s">
        <v>108</v>
      </c>
      <c r="D90" s="5">
        <v>196650</v>
      </c>
      <c r="F90">
        <f>1433370.53-739971.45</f>
        <v>693399.08000000007</v>
      </c>
    </row>
    <row r="91" spans="1:6">
      <c r="A91">
        <v>26</v>
      </c>
      <c r="C91" s="12" t="s">
        <v>109</v>
      </c>
      <c r="D91" s="5">
        <v>81375</v>
      </c>
      <c r="F91" s="5">
        <f>107959-46430</f>
        <v>61529</v>
      </c>
    </row>
    <row r="92" spans="1:6">
      <c r="A92">
        <v>26</v>
      </c>
      <c r="C92" s="12" t="s">
        <v>110</v>
      </c>
      <c r="D92" s="5">
        <v>8400</v>
      </c>
      <c r="F92">
        <f>22664.08-10386.8</f>
        <v>12277.280000000002</v>
      </c>
    </row>
    <row r="93" spans="1:6">
      <c r="A93">
        <v>26</v>
      </c>
      <c r="C93" s="12" t="s">
        <v>111</v>
      </c>
      <c r="D93" s="5">
        <v>75000</v>
      </c>
      <c r="F93" s="5">
        <f>113921-59057</f>
        <v>54864</v>
      </c>
    </row>
    <row r="94" spans="1:6">
      <c r="A94">
        <v>26</v>
      </c>
      <c r="C94" s="12" t="s">
        <v>112</v>
      </c>
      <c r="D94" s="5">
        <v>3000</v>
      </c>
      <c r="F94" s="5">
        <f>3828-2321</f>
        <v>1507</v>
      </c>
    </row>
    <row r="95" spans="1:6">
      <c r="A95">
        <v>26</v>
      </c>
      <c r="C95" s="12" t="s">
        <v>113</v>
      </c>
      <c r="D95" s="5">
        <v>28875</v>
      </c>
      <c r="F95">
        <f>73668.95-33024.92</f>
        <v>40644.03</v>
      </c>
    </row>
    <row r="96" spans="1:6">
      <c r="A96">
        <v>27</v>
      </c>
      <c r="B96">
        <v>3220</v>
      </c>
      <c r="C96" s="12" t="s">
        <v>114</v>
      </c>
      <c r="D96">
        <v>342631.41</v>
      </c>
      <c r="F96">
        <f>672632.7-328715.04</f>
        <v>343917.66</v>
      </c>
    </row>
    <row r="97" spans="1:6">
      <c r="A97">
        <v>27</v>
      </c>
      <c r="C97" s="12" t="s">
        <v>116</v>
      </c>
      <c r="D97">
        <v>317631.40999999997</v>
      </c>
      <c r="F97">
        <f>622352.96-304007.04</f>
        <v>318345.92</v>
      </c>
    </row>
    <row r="98" spans="1:6">
      <c r="A98">
        <v>27</v>
      </c>
      <c r="C98" s="12" t="s">
        <v>115</v>
      </c>
      <c r="D98" s="5">
        <v>25000</v>
      </c>
      <c r="F98">
        <f>50279.74-24708</f>
        <v>25571.739999999998</v>
      </c>
    </row>
    <row r="99" spans="1:6">
      <c r="A99">
        <v>28</v>
      </c>
      <c r="B99">
        <v>3310</v>
      </c>
      <c r="C99" s="12" t="s">
        <v>118</v>
      </c>
      <c r="D99">
        <v>43803.21</v>
      </c>
      <c r="F99">
        <f>72733.8-63287.08</f>
        <v>9446.7200000000012</v>
      </c>
    </row>
    <row r="100" spans="1:6">
      <c r="A100">
        <v>28</v>
      </c>
      <c r="C100" s="12" t="s">
        <v>119</v>
      </c>
      <c r="D100" s="5">
        <v>17500</v>
      </c>
      <c r="F100" s="5">
        <f>4000-1500</f>
        <v>2500</v>
      </c>
    </row>
    <row r="101" spans="1:6">
      <c r="A101">
        <v>28</v>
      </c>
      <c r="C101" s="9" t="s">
        <v>120</v>
      </c>
      <c r="D101" s="5">
        <v>2500</v>
      </c>
      <c r="F101" s="5">
        <v>0</v>
      </c>
    </row>
    <row r="102" spans="1:6">
      <c r="A102">
        <v>28</v>
      </c>
      <c r="C102" s="12" t="s">
        <v>121</v>
      </c>
      <c r="D102" s="5">
        <v>5000</v>
      </c>
      <c r="F102">
        <v>0</v>
      </c>
    </row>
    <row r="103" spans="1:6">
      <c r="A103">
        <v>28</v>
      </c>
      <c r="C103" s="12" t="s">
        <v>122</v>
      </c>
      <c r="D103">
        <v>18803.21</v>
      </c>
      <c r="F103">
        <f>68733.8-61787.08</f>
        <v>6946.7200000000012</v>
      </c>
    </row>
    <row r="104" spans="1:6">
      <c r="A104">
        <v>29</v>
      </c>
      <c r="B104">
        <v>3410</v>
      </c>
      <c r="C104" s="12" t="s">
        <v>123</v>
      </c>
      <c r="D104" s="5">
        <v>26400</v>
      </c>
      <c r="F104">
        <f>8674.4-4439.92</f>
        <v>4234.4799999999996</v>
      </c>
    </row>
    <row r="105" spans="1:6">
      <c r="A105">
        <v>29</v>
      </c>
      <c r="C105" s="12" t="s">
        <v>124</v>
      </c>
      <c r="D105" s="5">
        <v>8250</v>
      </c>
      <c r="F105">
        <f>8674.4-4439.92</f>
        <v>4234.4799999999996</v>
      </c>
    </row>
    <row r="106" spans="1:6">
      <c r="A106">
        <v>29</v>
      </c>
      <c r="C106" s="12" t="s">
        <v>125</v>
      </c>
      <c r="D106" s="5">
        <v>18150</v>
      </c>
      <c r="F106">
        <v>0</v>
      </c>
    </row>
    <row r="107" spans="1:6">
      <c r="A107">
        <v>30</v>
      </c>
      <c r="B107">
        <v>3500</v>
      </c>
      <c r="C107" s="12" t="s">
        <v>127</v>
      </c>
      <c r="D107">
        <v>57012.52</v>
      </c>
      <c r="F107">
        <f>45009.77-20772.76</f>
        <v>24237.01</v>
      </c>
    </row>
    <row r="108" spans="1:6">
      <c r="A108">
        <v>30</v>
      </c>
      <c r="C108" s="12" t="s">
        <v>128</v>
      </c>
      <c r="D108" s="5">
        <v>7350</v>
      </c>
      <c r="F108" s="5">
        <f>14252-11136</f>
        <v>3116</v>
      </c>
    </row>
    <row r="109" spans="1:6">
      <c r="A109">
        <v>30</v>
      </c>
      <c r="C109" s="12" t="s">
        <v>129</v>
      </c>
      <c r="D109">
        <v>13998.01</v>
      </c>
      <c r="F109" s="5">
        <f>3474.2-1160</f>
        <v>2314.1999999999998</v>
      </c>
    </row>
    <row r="110" spans="1:6">
      <c r="A110">
        <v>30</v>
      </c>
      <c r="C110" s="12" t="s">
        <v>130</v>
      </c>
      <c r="D110">
        <v>13998.01</v>
      </c>
      <c r="F110" s="5">
        <f>12085.96-7687.96</f>
        <v>4397.9999999999991</v>
      </c>
    </row>
    <row r="111" spans="1:6">
      <c r="A111">
        <v>30</v>
      </c>
      <c r="C111" s="12" t="s">
        <v>131</v>
      </c>
      <c r="D111" s="5">
        <v>16666.5</v>
      </c>
      <c r="F111">
        <f>15197.61-788.8</f>
        <v>14408.810000000001</v>
      </c>
    </row>
    <row r="112" spans="1:6">
      <c r="A112">
        <v>30</v>
      </c>
      <c r="C112" s="12" t="s">
        <v>132</v>
      </c>
      <c r="D112" s="5">
        <v>5000</v>
      </c>
      <c r="F112">
        <v>0</v>
      </c>
    </row>
    <row r="113" spans="1:6">
      <c r="A113">
        <v>31</v>
      </c>
      <c r="B113">
        <v>3610</v>
      </c>
      <c r="C113" s="12" t="s">
        <v>133</v>
      </c>
      <c r="D113">
        <v>40642.47</v>
      </c>
      <c r="F113" s="5">
        <f>13417-9767</f>
        <v>3650</v>
      </c>
    </row>
    <row r="114" spans="1:6">
      <c r="A114">
        <v>31</v>
      </c>
      <c r="C114" s="12" t="s">
        <v>134</v>
      </c>
      <c r="D114">
        <v>40642.47</v>
      </c>
      <c r="F114" s="5">
        <v>3650</v>
      </c>
    </row>
    <row r="115" spans="1:6">
      <c r="A115">
        <v>32</v>
      </c>
      <c r="B115">
        <v>3750</v>
      </c>
      <c r="C115" s="12" t="s">
        <v>135</v>
      </c>
      <c r="D115" s="5">
        <v>93750</v>
      </c>
      <c r="F115">
        <f>57648.2-24312.81</f>
        <v>33335.39</v>
      </c>
    </row>
    <row r="116" spans="1:6">
      <c r="A116">
        <v>32</v>
      </c>
      <c r="C116" s="12" t="s">
        <v>136</v>
      </c>
      <c r="D116" s="5">
        <v>28750</v>
      </c>
      <c r="F116" s="5">
        <f>16351-8226</f>
        <v>8125</v>
      </c>
    </row>
    <row r="117" spans="1:6">
      <c r="A117">
        <v>32</v>
      </c>
      <c r="C117" s="12" t="s">
        <v>137</v>
      </c>
      <c r="D117" s="5">
        <v>65000</v>
      </c>
      <c r="F117">
        <f>41297.2-16086.81</f>
        <v>25210.39</v>
      </c>
    </row>
    <row r="118" spans="1:6">
      <c r="A118">
        <v>33</v>
      </c>
      <c r="B118">
        <v>3820</v>
      </c>
      <c r="C118" s="12" t="s">
        <v>139</v>
      </c>
      <c r="D118" s="5">
        <v>75000</v>
      </c>
      <c r="F118">
        <f>77211.4-54480.27</f>
        <v>22731.129999999997</v>
      </c>
    </row>
    <row r="119" spans="1:6">
      <c r="A119">
        <v>33</v>
      </c>
      <c r="C119" s="12" t="s">
        <v>140</v>
      </c>
      <c r="D119" s="5">
        <v>75000</v>
      </c>
      <c r="F119">
        <f>77211.4-54480.27</f>
        <v>22731.129999999997</v>
      </c>
    </row>
    <row r="120" spans="1:6">
      <c r="A120">
        <v>34</v>
      </c>
      <c r="B120">
        <v>3960</v>
      </c>
      <c r="C120" s="12" t="s">
        <v>141</v>
      </c>
      <c r="D120">
        <v>96904.89</v>
      </c>
      <c r="F120">
        <f>164002.23-82976.85</f>
        <v>81025.38</v>
      </c>
    </row>
    <row r="121" spans="1:6">
      <c r="A121">
        <v>34</v>
      </c>
      <c r="C121" s="12" t="s">
        <v>142</v>
      </c>
      <c r="D121" s="5">
        <v>7500</v>
      </c>
      <c r="F121">
        <v>0</v>
      </c>
    </row>
    <row r="122" spans="1:6">
      <c r="A122">
        <v>34</v>
      </c>
      <c r="C122" s="12" t="s">
        <v>143</v>
      </c>
      <c r="D122" s="5">
        <v>4075</v>
      </c>
      <c r="F122">
        <v>3211.52</v>
      </c>
    </row>
    <row r="123" spans="1:6">
      <c r="A123">
        <v>34</v>
      </c>
      <c r="C123" s="12" t="s">
        <v>144</v>
      </c>
      <c r="D123">
        <v>85329.89</v>
      </c>
      <c r="F123">
        <f>149646.71-71832.85</f>
        <v>77813.859999999986</v>
      </c>
    </row>
    <row r="124" spans="1:6">
      <c r="A124">
        <v>35</v>
      </c>
      <c r="B124">
        <v>1130</v>
      </c>
      <c r="C124" s="12" t="s">
        <v>72</v>
      </c>
      <c r="D124">
        <v>1991682.0199999998</v>
      </c>
      <c r="F124">
        <f>4818472.64-3080990.46</f>
        <v>1737482.1799999997</v>
      </c>
    </row>
    <row r="125" spans="1:6">
      <c r="A125">
        <v>35</v>
      </c>
      <c r="C125" s="12" t="s">
        <v>79</v>
      </c>
      <c r="D125">
        <v>1991682.02</v>
      </c>
      <c r="F125">
        <v>1737482.18</v>
      </c>
    </row>
    <row r="126" spans="1:6">
      <c r="A126">
        <v>36</v>
      </c>
      <c r="B126">
        <v>1340</v>
      </c>
      <c r="C126" s="4" t="s">
        <v>76</v>
      </c>
      <c r="D126">
        <v>2804795.1</v>
      </c>
      <c r="F126">
        <f>6799509.15-4047739.82</f>
        <v>2751769.3300000005</v>
      </c>
    </row>
    <row r="127" spans="1:6">
      <c r="A127">
        <v>36</v>
      </c>
      <c r="C127" s="6" t="s">
        <v>80</v>
      </c>
      <c r="D127">
        <v>724982.59</v>
      </c>
      <c r="F127">
        <v>716358.17</v>
      </c>
    </row>
    <row r="128" spans="1:6">
      <c r="A128">
        <v>36</v>
      </c>
      <c r="C128" s="6" t="s">
        <v>81</v>
      </c>
      <c r="D128">
        <v>12500</v>
      </c>
      <c r="F128">
        <f>21983.4-14877.42</f>
        <v>7105.9800000000014</v>
      </c>
    </row>
    <row r="129" spans="1:6">
      <c r="A129">
        <v>36</v>
      </c>
      <c r="C129" s="6" t="s">
        <v>82</v>
      </c>
      <c r="D129">
        <v>2067312.5100000002</v>
      </c>
      <c r="F129">
        <f>6061167.58-4032862.4</f>
        <v>2028305.1800000002</v>
      </c>
    </row>
    <row r="130" spans="1:6">
      <c r="A130">
        <v>37</v>
      </c>
      <c r="B130">
        <v>1410</v>
      </c>
      <c r="C130" s="6" t="s">
        <v>83</v>
      </c>
      <c r="D130">
        <v>326792.68</v>
      </c>
      <c r="F130">
        <f>1178970.43-730591.12</f>
        <v>448379.30999999994</v>
      </c>
    </row>
    <row r="131" spans="1:6">
      <c r="A131">
        <v>37</v>
      </c>
      <c r="C131" s="8" t="s">
        <v>84</v>
      </c>
      <c r="D131">
        <v>326792.68</v>
      </c>
      <c r="F131">
        <v>448379.31</v>
      </c>
    </row>
    <row r="132" spans="1:6">
      <c r="A132">
        <v>38</v>
      </c>
      <c r="B132">
        <v>1590</v>
      </c>
      <c r="C132" s="9" t="s">
        <v>85</v>
      </c>
      <c r="D132" s="5">
        <v>347204</v>
      </c>
      <c r="F132">
        <f>1062235.07-688565.57</f>
        <v>373669.50000000012</v>
      </c>
    </row>
    <row r="133" spans="1:6">
      <c r="A133">
        <v>38</v>
      </c>
      <c r="C133" s="9" t="s">
        <v>86</v>
      </c>
      <c r="D133" s="5">
        <v>162116</v>
      </c>
      <c r="F133" s="5">
        <f>450552.57-291093.57</f>
        <v>159459</v>
      </c>
    </row>
    <row r="134" spans="1:6">
      <c r="A134">
        <v>38</v>
      </c>
      <c r="C134" s="9" t="s">
        <v>87</v>
      </c>
      <c r="D134" s="5">
        <v>185088</v>
      </c>
      <c r="F134" s="5">
        <f>611682.5-397472</f>
        <v>214210.5</v>
      </c>
    </row>
    <row r="135" spans="1:6">
      <c r="A135">
        <v>39</v>
      </c>
      <c r="B135">
        <v>1710</v>
      </c>
      <c r="C135" s="9" t="s">
        <v>88</v>
      </c>
      <c r="D135">
        <v>171982.08000000002</v>
      </c>
      <c r="F135">
        <f>118411.39-75799.2</f>
        <v>42612.19</v>
      </c>
    </row>
    <row r="136" spans="1:6">
      <c r="A136">
        <v>39</v>
      </c>
      <c r="C136" s="12" t="s">
        <v>89</v>
      </c>
      <c r="D136" s="5">
        <v>171982.07999999999</v>
      </c>
      <c r="F136">
        <v>42612.19</v>
      </c>
    </row>
    <row r="137" spans="1:6">
      <c r="A137">
        <v>40</v>
      </c>
      <c r="B137">
        <v>2110</v>
      </c>
      <c r="C137" s="12" t="s">
        <v>92</v>
      </c>
      <c r="D137">
        <v>125852.63</v>
      </c>
      <c r="F137">
        <f>247332.38-182576.26</f>
        <v>64756.119999999995</v>
      </c>
    </row>
    <row r="138" spans="1:6">
      <c r="A138">
        <v>40</v>
      </c>
      <c r="C138" s="12" t="s">
        <v>93</v>
      </c>
      <c r="D138" s="5">
        <v>59400</v>
      </c>
      <c r="F138">
        <f>133543.26-101031.5</f>
        <v>32511.760000000009</v>
      </c>
    </row>
    <row r="139" spans="1:6">
      <c r="A139">
        <v>40</v>
      </c>
      <c r="C139" s="12" t="s">
        <v>94</v>
      </c>
      <c r="D139" s="5">
        <v>38225</v>
      </c>
      <c r="F139">
        <f>78518.75-59344.73</f>
        <v>19174.019999999997</v>
      </c>
    </row>
    <row r="140" spans="1:6">
      <c r="A140">
        <v>40</v>
      </c>
      <c r="C140" s="12" t="s">
        <v>95</v>
      </c>
      <c r="D140">
        <v>14477.629999999997</v>
      </c>
      <c r="E140" s="4" t="s">
        <v>73</v>
      </c>
      <c r="F140">
        <f>1032.4-1032.4</f>
        <v>0</v>
      </c>
    </row>
    <row r="141" spans="1:6">
      <c r="A141">
        <v>40</v>
      </c>
      <c r="C141" s="12" t="s">
        <v>96</v>
      </c>
      <c r="D141" s="5">
        <v>13750</v>
      </c>
      <c r="F141">
        <f>34237.97-21167.63</f>
        <v>13070.34</v>
      </c>
    </row>
    <row r="142" spans="1:6">
      <c r="A142">
        <v>41</v>
      </c>
      <c r="B142">
        <v>2610</v>
      </c>
      <c r="C142" s="12" t="s">
        <v>97</v>
      </c>
      <c r="D142">
        <v>79191.820000000007</v>
      </c>
      <c r="F142">
        <f>321939.02-221566.29</f>
        <v>100372.73000000001</v>
      </c>
    </row>
    <row r="143" spans="1:6">
      <c r="A143">
        <v>41</v>
      </c>
      <c r="C143" s="12" t="s">
        <v>98</v>
      </c>
      <c r="D143" s="5">
        <v>79191.820000000007</v>
      </c>
      <c r="F143">
        <v>100372.73</v>
      </c>
    </row>
    <row r="144" spans="1:6">
      <c r="A144">
        <v>42</v>
      </c>
      <c r="B144">
        <v>2900</v>
      </c>
      <c r="C144" s="12" t="s">
        <v>101</v>
      </c>
      <c r="D144" s="5">
        <v>67624.5</v>
      </c>
      <c r="F144">
        <f>49435.28-28272.06</f>
        <v>21163.219999999998</v>
      </c>
    </row>
    <row r="145" spans="1:6">
      <c r="A145">
        <v>42</v>
      </c>
      <c r="C145" s="12" t="s">
        <v>102</v>
      </c>
      <c r="D145">
        <v>6421.75</v>
      </c>
      <c r="F145">
        <f>6004.41-674.45</f>
        <v>5329.96</v>
      </c>
    </row>
    <row r="146" spans="1:6">
      <c r="A146">
        <v>42</v>
      </c>
      <c r="C146" s="12" t="s">
        <v>103</v>
      </c>
      <c r="D146" s="5">
        <v>6875</v>
      </c>
      <c r="F146" s="5">
        <f>15523.17-14798.17</f>
        <v>725</v>
      </c>
    </row>
    <row r="147" spans="1:6">
      <c r="A147">
        <v>42</v>
      </c>
      <c r="C147" s="12" t="s">
        <v>104</v>
      </c>
      <c r="D147">
        <v>19265.25</v>
      </c>
      <c r="F147" s="5">
        <f>10083.8-4450</f>
        <v>5633.7999999999993</v>
      </c>
    </row>
    <row r="148" spans="1:6">
      <c r="A148">
        <v>42</v>
      </c>
      <c r="C148" s="12" t="s">
        <v>105</v>
      </c>
      <c r="D148" s="5">
        <v>14437.5</v>
      </c>
      <c r="F148">
        <f>4660.82-3999.44</f>
        <v>661.37999999999965</v>
      </c>
    </row>
    <row r="149" spans="1:6">
      <c r="A149">
        <v>42</v>
      </c>
      <c r="C149" s="12" t="s">
        <v>106</v>
      </c>
      <c r="D149" s="5">
        <v>20625</v>
      </c>
      <c r="F149">
        <f>13163.08-4350</f>
        <v>8813.08</v>
      </c>
    </row>
    <row r="150" spans="1:6">
      <c r="A150">
        <v>43</v>
      </c>
      <c r="B150">
        <v>3110</v>
      </c>
      <c r="C150" s="12" t="s">
        <v>108</v>
      </c>
      <c r="D150" s="5">
        <v>196650</v>
      </c>
      <c r="F150">
        <f>528441.26-322041.03</f>
        <v>206400.22999999998</v>
      </c>
    </row>
    <row r="151" spans="1:6">
      <c r="A151">
        <v>43</v>
      </c>
      <c r="C151" s="12" t="s">
        <v>109</v>
      </c>
      <c r="D151" s="5">
        <v>81375</v>
      </c>
      <c r="F151">
        <f>225821-107959</f>
        <v>117862</v>
      </c>
    </row>
    <row r="152" spans="1:6">
      <c r="A152">
        <v>43</v>
      </c>
      <c r="C152" s="12" t="s">
        <v>110</v>
      </c>
      <c r="D152" s="5">
        <v>8400</v>
      </c>
      <c r="F152">
        <f>27643.4-22664.08</f>
        <v>4979.32</v>
      </c>
    </row>
    <row r="153" spans="1:6">
      <c r="A153">
        <v>43</v>
      </c>
      <c r="C153" s="12" t="s">
        <v>111</v>
      </c>
      <c r="D153" s="5">
        <v>75000</v>
      </c>
      <c r="F153" s="5">
        <f>170209-113921</f>
        <v>56288</v>
      </c>
    </row>
    <row r="154" spans="1:6">
      <c r="A154">
        <v>43</v>
      </c>
      <c r="C154" s="12" t="s">
        <v>112</v>
      </c>
      <c r="D154" s="5">
        <v>3000</v>
      </c>
      <c r="F154" s="5">
        <f>5393-3828</f>
        <v>1565</v>
      </c>
    </row>
    <row r="155" spans="1:6">
      <c r="A155">
        <v>43</v>
      </c>
      <c r="C155" s="12" t="s">
        <v>113</v>
      </c>
      <c r="D155" s="5">
        <v>28875</v>
      </c>
      <c r="F155">
        <f>99374.86-73668.95</f>
        <v>25705.910000000003</v>
      </c>
    </row>
    <row r="156" spans="1:6">
      <c r="A156">
        <v>44</v>
      </c>
      <c r="B156">
        <v>3220</v>
      </c>
      <c r="C156" s="12" t="s">
        <v>114</v>
      </c>
      <c r="D156">
        <v>342631.41</v>
      </c>
      <c r="F156">
        <f>987722.12-672632.7</f>
        <v>315089.42000000004</v>
      </c>
    </row>
    <row r="157" spans="1:6">
      <c r="A157">
        <v>44</v>
      </c>
      <c r="C157" s="12" t="s">
        <v>116</v>
      </c>
      <c r="D157">
        <v>317631.40999999997</v>
      </c>
      <c r="F157">
        <f>917142.38-622352.96</f>
        <v>294789.42000000004</v>
      </c>
    </row>
    <row r="158" spans="1:6">
      <c r="A158">
        <v>44</v>
      </c>
      <c r="C158" s="12" t="s">
        <v>115</v>
      </c>
      <c r="D158" s="5">
        <v>25000</v>
      </c>
      <c r="F158" s="5">
        <f>70579.74-50279.74</f>
        <v>20300.000000000007</v>
      </c>
    </row>
    <row r="159" spans="1:6">
      <c r="A159">
        <v>45</v>
      </c>
      <c r="B159">
        <v>3310</v>
      </c>
      <c r="C159" s="12" t="s">
        <v>118</v>
      </c>
      <c r="D159">
        <v>43803.21</v>
      </c>
      <c r="F159">
        <f>113172.08-72733.8</f>
        <v>40438.28</v>
      </c>
    </row>
    <row r="160" spans="1:6">
      <c r="A160">
        <v>45</v>
      </c>
      <c r="C160" s="12" t="s">
        <v>119</v>
      </c>
      <c r="D160" s="5">
        <v>17500</v>
      </c>
      <c r="F160">
        <f>36538.66-4000</f>
        <v>32538.660000000003</v>
      </c>
    </row>
    <row r="161" spans="1:6">
      <c r="A161">
        <v>45</v>
      </c>
      <c r="C161" s="9" t="s">
        <v>120</v>
      </c>
      <c r="D161" s="5">
        <v>2500</v>
      </c>
      <c r="F161">
        <v>0</v>
      </c>
    </row>
    <row r="162" spans="1:6">
      <c r="A162">
        <v>45</v>
      </c>
      <c r="C162" s="12" t="s">
        <v>121</v>
      </c>
      <c r="D162" s="5">
        <v>5000</v>
      </c>
      <c r="F162">
        <v>0</v>
      </c>
    </row>
    <row r="163" spans="1:6">
      <c r="A163">
        <v>45</v>
      </c>
      <c r="C163" s="12" t="s">
        <v>122</v>
      </c>
      <c r="D163">
        <v>18803.21</v>
      </c>
      <c r="F163">
        <f>76633.42-68733.8</f>
        <v>7899.6199999999953</v>
      </c>
    </row>
    <row r="164" spans="1:6">
      <c r="A164">
        <v>46</v>
      </c>
      <c r="B164">
        <v>3410</v>
      </c>
      <c r="C164" s="12" t="s">
        <v>123</v>
      </c>
      <c r="D164" s="5">
        <v>26400</v>
      </c>
      <c r="F164">
        <f>52042.02-8674.4</f>
        <v>43367.619999999995</v>
      </c>
    </row>
    <row r="165" spans="1:6">
      <c r="A165">
        <v>46</v>
      </c>
      <c r="C165" s="12" t="s">
        <v>124</v>
      </c>
      <c r="D165" s="5">
        <v>8250</v>
      </c>
      <c r="F165">
        <f>14979.56-8674.4</f>
        <v>6305.16</v>
      </c>
    </row>
    <row r="166" spans="1:6">
      <c r="A166">
        <v>46</v>
      </c>
      <c r="C166" s="12" t="s">
        <v>125</v>
      </c>
      <c r="D166" s="5">
        <v>18150</v>
      </c>
      <c r="F166">
        <f>37062.46-0</f>
        <v>37062.46</v>
      </c>
    </row>
    <row r="167" spans="1:6">
      <c r="A167">
        <v>47</v>
      </c>
      <c r="B167">
        <v>3500</v>
      </c>
      <c r="C167" s="12" t="s">
        <v>127</v>
      </c>
      <c r="D167">
        <v>57012.52</v>
      </c>
      <c r="F167">
        <f>92104.88-45009.77</f>
        <v>47095.110000000008</v>
      </c>
    </row>
    <row r="168" spans="1:6">
      <c r="A168">
        <v>47</v>
      </c>
      <c r="C168" s="12" t="s">
        <v>128</v>
      </c>
      <c r="D168" s="5">
        <v>7350</v>
      </c>
      <c r="F168" s="5">
        <f>19762-14252</f>
        <v>5510</v>
      </c>
    </row>
    <row r="169" spans="1:6">
      <c r="A169">
        <v>47</v>
      </c>
      <c r="C169" s="12" t="s">
        <v>129</v>
      </c>
      <c r="D169">
        <v>13998.01</v>
      </c>
      <c r="F169">
        <f>18763-3474.2</f>
        <v>15288.8</v>
      </c>
    </row>
    <row r="170" spans="1:6">
      <c r="A170">
        <v>47</v>
      </c>
      <c r="C170" s="12" t="s">
        <v>130</v>
      </c>
      <c r="D170" s="5">
        <v>13998.01</v>
      </c>
      <c r="F170" s="5">
        <f>13907.06-12085.96</f>
        <v>1821.1000000000004</v>
      </c>
    </row>
    <row r="171" spans="1:6">
      <c r="A171">
        <v>47</v>
      </c>
      <c r="C171" s="12" t="s">
        <v>131</v>
      </c>
      <c r="D171" s="5">
        <v>16666.5</v>
      </c>
      <c r="F171" s="5">
        <f>33543.01-15197.61</f>
        <v>18345.400000000001</v>
      </c>
    </row>
    <row r="172" spans="1:6">
      <c r="A172">
        <v>47</v>
      </c>
      <c r="C172" s="12" t="s">
        <v>132</v>
      </c>
      <c r="D172" s="5">
        <v>5000</v>
      </c>
      <c r="F172">
        <f>6129.81-0</f>
        <v>6129.81</v>
      </c>
    </row>
    <row r="173" spans="1:6">
      <c r="A173">
        <v>48</v>
      </c>
      <c r="B173">
        <v>3610</v>
      </c>
      <c r="C173" s="12" t="s">
        <v>133</v>
      </c>
      <c r="D173">
        <v>40642.47</v>
      </c>
      <c r="F173">
        <f>14931.07-13417</f>
        <v>1514.0699999999997</v>
      </c>
    </row>
    <row r="174" spans="1:6">
      <c r="A174">
        <v>48</v>
      </c>
      <c r="C174" s="12" t="s">
        <v>134</v>
      </c>
      <c r="D174" s="5">
        <v>40642.47</v>
      </c>
      <c r="F174">
        <v>1514.07</v>
      </c>
    </row>
    <row r="175" spans="1:6">
      <c r="A175">
        <v>49</v>
      </c>
      <c r="B175">
        <v>3750</v>
      </c>
      <c r="C175" s="12" t="s">
        <v>135</v>
      </c>
      <c r="D175" s="5">
        <v>93750</v>
      </c>
      <c r="F175" s="5">
        <f>130376.3-57648.2</f>
        <v>72728.100000000006</v>
      </c>
    </row>
    <row r="176" spans="1:6">
      <c r="A176">
        <v>49</v>
      </c>
      <c r="C176" s="12" t="s">
        <v>136</v>
      </c>
      <c r="D176" s="5">
        <v>28750</v>
      </c>
      <c r="F176" s="5">
        <f>64125-16351</f>
        <v>47774</v>
      </c>
    </row>
    <row r="177" spans="1:6">
      <c r="A177">
        <v>49</v>
      </c>
      <c r="C177" s="12" t="s">
        <v>137</v>
      </c>
      <c r="D177" s="5">
        <v>65000</v>
      </c>
      <c r="F177">
        <f>66251.3-41297.2</f>
        <v>24954.100000000006</v>
      </c>
    </row>
    <row r="178" spans="1:6">
      <c r="A178">
        <v>50</v>
      </c>
      <c r="B178">
        <v>3820</v>
      </c>
      <c r="C178" s="12" t="s">
        <v>139</v>
      </c>
      <c r="D178" s="5">
        <v>75000</v>
      </c>
      <c r="F178" s="5">
        <f>98409.6-77211.4</f>
        <v>21198.200000000012</v>
      </c>
    </row>
    <row r="179" spans="1:6">
      <c r="A179">
        <v>50</v>
      </c>
      <c r="C179" s="12" t="s">
        <v>140</v>
      </c>
      <c r="D179" s="5">
        <v>75000</v>
      </c>
      <c r="F179" s="5">
        <v>21198.2</v>
      </c>
    </row>
    <row r="180" spans="1:6">
      <c r="A180">
        <v>51</v>
      </c>
      <c r="B180">
        <v>3960</v>
      </c>
      <c r="C180" s="12" t="s">
        <v>141</v>
      </c>
      <c r="D180">
        <v>96904.89</v>
      </c>
      <c r="F180">
        <f>260566.86-164002.23</f>
        <v>96564.629999999976</v>
      </c>
    </row>
    <row r="181" spans="1:6">
      <c r="A181">
        <v>51</v>
      </c>
      <c r="C181" s="12" t="s">
        <v>142</v>
      </c>
      <c r="D181" s="5">
        <v>7500</v>
      </c>
      <c r="F181">
        <f>11144-11144</f>
        <v>0</v>
      </c>
    </row>
    <row r="182" spans="1:6">
      <c r="A182">
        <v>51</v>
      </c>
      <c r="C182" s="12" t="s">
        <v>143</v>
      </c>
      <c r="D182" s="5">
        <v>4075</v>
      </c>
      <c r="F182">
        <f>3211.52-3211.52</f>
        <v>0</v>
      </c>
    </row>
    <row r="183" spans="1:6">
      <c r="A183">
        <v>51</v>
      </c>
      <c r="C183" s="12" t="s">
        <v>144</v>
      </c>
      <c r="D183">
        <v>85329.89</v>
      </c>
      <c r="F183">
        <f>246211.34-149646.71</f>
        <v>96564.63</v>
      </c>
    </row>
    <row r="184" spans="1:6">
      <c r="A184">
        <v>52</v>
      </c>
      <c r="B184">
        <v>1130</v>
      </c>
      <c r="C184" s="12" t="s">
        <v>72</v>
      </c>
      <c r="D184">
        <v>1631210.82</v>
      </c>
      <c r="E184">
        <v>1924828.7599999998</v>
      </c>
      <c r="F184">
        <f>6460692.66-4818472.64</f>
        <v>1642220.0200000005</v>
      </c>
    </row>
    <row r="185" spans="1:6">
      <c r="A185">
        <v>52</v>
      </c>
      <c r="C185" s="12" t="s">
        <v>79</v>
      </c>
      <c r="D185">
        <v>1631210.82</v>
      </c>
      <c r="E185">
        <v>1924828.76</v>
      </c>
      <c r="F185">
        <v>1642220.02</v>
      </c>
    </row>
    <row r="186" spans="1:6">
      <c r="A186">
        <v>53</v>
      </c>
      <c r="B186">
        <v>1340</v>
      </c>
      <c r="C186" s="4" t="s">
        <v>76</v>
      </c>
      <c r="D186" s="5">
        <v>4183003.43</v>
      </c>
      <c r="E186">
        <v>6875045.5999999996</v>
      </c>
      <c r="F186">
        <f>10930932.36-6799509.15</f>
        <v>4131423.209999999</v>
      </c>
    </row>
    <row r="187" spans="1:6">
      <c r="A187">
        <v>53</v>
      </c>
      <c r="C187" s="6" t="s">
        <v>80</v>
      </c>
      <c r="D187" s="4">
        <v>724982.58</v>
      </c>
      <c r="E187">
        <v>790231.03</v>
      </c>
      <c r="F187">
        <f>1436282.92-716358.17</f>
        <v>719924.74999999988</v>
      </c>
    </row>
    <row r="188" spans="1:6">
      <c r="A188">
        <v>53</v>
      </c>
      <c r="C188" s="6" t="s">
        <v>81</v>
      </c>
      <c r="D188" s="5">
        <v>12500</v>
      </c>
      <c r="E188">
        <v>1607.3400000000001</v>
      </c>
      <c r="F188">
        <v>0</v>
      </c>
    </row>
    <row r="189" spans="1:6">
      <c r="A189">
        <v>53</v>
      </c>
      <c r="C189" s="6" t="s">
        <v>82</v>
      </c>
      <c r="D189" s="4">
        <v>3445520.8499999996</v>
      </c>
      <c r="E189">
        <v>6083207.2299999995</v>
      </c>
      <c r="F189">
        <f>9472666.04-6061167.58</f>
        <v>3411498.459999999</v>
      </c>
    </row>
    <row r="190" spans="1:6">
      <c r="A190">
        <v>54</v>
      </c>
      <c r="B190">
        <v>1410</v>
      </c>
      <c r="C190" s="6" t="s">
        <v>83</v>
      </c>
      <c r="D190">
        <v>326792.68</v>
      </c>
      <c r="E190">
        <v>733161.87</v>
      </c>
      <c r="F190">
        <f>1577811.2-1178970.43</f>
        <v>398840.77</v>
      </c>
    </row>
    <row r="191" spans="1:6">
      <c r="A191">
        <v>54</v>
      </c>
      <c r="C191" s="8" t="s">
        <v>84</v>
      </c>
      <c r="D191">
        <v>326792.68</v>
      </c>
      <c r="E191">
        <v>733161.87</v>
      </c>
      <c r="F191">
        <v>398840.77</v>
      </c>
    </row>
    <row r="192" spans="1:6">
      <c r="A192">
        <v>55</v>
      </c>
      <c r="B192">
        <v>1590</v>
      </c>
      <c r="C192" s="9" t="s">
        <v>85</v>
      </c>
      <c r="D192" s="5">
        <v>319704</v>
      </c>
      <c r="E192">
        <v>775072.44</v>
      </c>
      <c r="F192">
        <f>1806295.01-1062235.07</f>
        <v>744059.94</v>
      </c>
    </row>
    <row r="193" spans="1:6">
      <c r="A193">
        <v>55</v>
      </c>
      <c r="C193" s="9" t="s">
        <v>86</v>
      </c>
      <c r="D193" s="5">
        <v>134616</v>
      </c>
      <c r="F193">
        <f>586766.07-450552.57</f>
        <v>136213.49999999994</v>
      </c>
    </row>
    <row r="194" spans="1:6">
      <c r="A194">
        <v>55</v>
      </c>
      <c r="C194" s="9" t="s">
        <v>87</v>
      </c>
      <c r="D194" s="5">
        <v>185088</v>
      </c>
      <c r="E194">
        <v>640456.43999999994</v>
      </c>
      <c r="F194" s="5">
        <f>814728.5-611682.5+404800.44</f>
        <v>607846.43999999994</v>
      </c>
    </row>
    <row r="195" spans="1:6">
      <c r="A195">
        <v>56</v>
      </c>
      <c r="B195">
        <v>1710</v>
      </c>
      <c r="C195" s="9" t="s">
        <v>88</v>
      </c>
      <c r="D195" s="5">
        <v>286636.80000000005</v>
      </c>
      <c r="E195">
        <v>-377270.98</v>
      </c>
      <c r="F195">
        <f>147909.82-118411.39</f>
        <v>29498.430000000008</v>
      </c>
    </row>
    <row r="196" spans="1:6">
      <c r="A196">
        <v>56</v>
      </c>
      <c r="C196" s="12" t="s">
        <v>89</v>
      </c>
      <c r="D196" s="5">
        <v>286636.79999999999</v>
      </c>
      <c r="E196">
        <v>-377270.98</v>
      </c>
      <c r="F196">
        <v>29498.43</v>
      </c>
    </row>
    <row r="197" spans="1:6">
      <c r="A197">
        <v>57</v>
      </c>
      <c r="B197">
        <v>2110</v>
      </c>
      <c r="C197" s="12" t="s">
        <v>92</v>
      </c>
      <c r="D197">
        <v>125852.63</v>
      </c>
      <c r="E197">
        <v>-20000</v>
      </c>
      <c r="F197">
        <f>346977.66-247332.38</f>
        <v>99645.27999999997</v>
      </c>
    </row>
    <row r="198" spans="1:6">
      <c r="A198">
        <v>57</v>
      </c>
      <c r="C198" s="12" t="s">
        <v>93</v>
      </c>
      <c r="D198" s="5">
        <v>59400</v>
      </c>
      <c r="F198">
        <f>194130.74-133543.26</f>
        <v>60587.479999999981</v>
      </c>
    </row>
    <row r="199" spans="1:6">
      <c r="A199">
        <v>57</v>
      </c>
      <c r="C199" s="12" t="s">
        <v>94</v>
      </c>
      <c r="D199" s="5">
        <v>38225</v>
      </c>
      <c r="F199">
        <f>102839.94-78518.75</f>
        <v>24321.190000000002</v>
      </c>
    </row>
    <row r="200" spans="1:6">
      <c r="A200">
        <v>57</v>
      </c>
      <c r="C200" s="12" t="s">
        <v>95</v>
      </c>
      <c r="D200">
        <v>14477.629999999997</v>
      </c>
      <c r="E200">
        <v>-20000</v>
      </c>
      <c r="F200" s="5">
        <f>2337.4-1032.4</f>
        <v>1305</v>
      </c>
    </row>
    <row r="201" spans="1:6">
      <c r="A201">
        <v>57</v>
      </c>
      <c r="C201" s="12" t="s">
        <v>96</v>
      </c>
      <c r="D201" s="5">
        <v>13750</v>
      </c>
      <c r="F201">
        <f>47669.58-34237.97</f>
        <v>13431.61</v>
      </c>
    </row>
    <row r="202" spans="1:6">
      <c r="A202">
        <v>58</v>
      </c>
      <c r="B202">
        <v>2610</v>
      </c>
      <c r="C202" s="12" t="s">
        <v>97</v>
      </c>
      <c r="D202">
        <v>79191.820000000007</v>
      </c>
      <c r="E202">
        <v>139191.82</v>
      </c>
      <c r="F202">
        <f>431275.95-321939.02</f>
        <v>109336.93</v>
      </c>
    </row>
    <row r="203" spans="1:6">
      <c r="A203">
        <v>58</v>
      </c>
      <c r="C203" s="12" t="s">
        <v>98</v>
      </c>
      <c r="D203" s="5">
        <v>79191.820000000007</v>
      </c>
      <c r="E203">
        <v>139191.82</v>
      </c>
      <c r="F203">
        <v>109336.93</v>
      </c>
    </row>
    <row r="204" spans="1:6">
      <c r="A204">
        <v>59</v>
      </c>
      <c r="B204">
        <v>2900</v>
      </c>
      <c r="C204" s="12" t="s">
        <v>101</v>
      </c>
      <c r="D204" s="5">
        <v>67624.5</v>
      </c>
      <c r="E204" s="5">
        <v>-42375.5</v>
      </c>
      <c r="F204">
        <f>55108.51-49435.28</f>
        <v>5673.2300000000032</v>
      </c>
    </row>
    <row r="205" spans="1:6">
      <c r="A205">
        <v>59</v>
      </c>
      <c r="C205" s="12" t="s">
        <v>102</v>
      </c>
      <c r="D205">
        <v>6421.75</v>
      </c>
      <c r="F205">
        <f>7163.8-6004.41</f>
        <v>1159.3900000000003</v>
      </c>
    </row>
    <row r="206" spans="1:6">
      <c r="A206">
        <v>59</v>
      </c>
      <c r="C206" s="12" t="s">
        <v>103</v>
      </c>
      <c r="D206" s="5">
        <v>6875</v>
      </c>
      <c r="F206">
        <f>19204.23-15523.17</f>
        <v>3681.0599999999995</v>
      </c>
    </row>
    <row r="207" spans="1:6">
      <c r="A207">
        <v>59</v>
      </c>
      <c r="C207" s="12" t="s">
        <v>104</v>
      </c>
      <c r="D207">
        <v>19265.25</v>
      </c>
      <c r="E207">
        <v>-20734.75</v>
      </c>
      <c r="F207">
        <f>10083.8-10083.8</f>
        <v>0</v>
      </c>
    </row>
    <row r="208" spans="1:6">
      <c r="A208">
        <v>59</v>
      </c>
      <c r="C208" s="12" t="s">
        <v>105</v>
      </c>
      <c r="D208" s="5">
        <v>14437.5</v>
      </c>
      <c r="E208" s="5">
        <v>-25562.5</v>
      </c>
      <c r="F208" s="5">
        <f>5069.82-4660.82</f>
        <v>409</v>
      </c>
    </row>
    <row r="209" spans="1:6">
      <c r="A209">
        <v>59</v>
      </c>
      <c r="C209" s="12" t="s">
        <v>106</v>
      </c>
      <c r="D209" s="5">
        <v>20625</v>
      </c>
      <c r="E209" s="5">
        <v>-9375</v>
      </c>
      <c r="F209">
        <f>13586.86-13163.08</f>
        <v>423.78000000000065</v>
      </c>
    </row>
    <row r="210" spans="1:6">
      <c r="A210">
        <v>60</v>
      </c>
      <c r="B210">
        <v>3110</v>
      </c>
      <c r="C210" s="12" t="s">
        <v>108</v>
      </c>
      <c r="D210" s="5">
        <v>196650</v>
      </c>
      <c r="E210">
        <v>227466.34</v>
      </c>
      <c r="F210">
        <f>752994.57-528441.26</f>
        <v>224553.30999999994</v>
      </c>
    </row>
    <row r="211" spans="1:6">
      <c r="A211">
        <v>60</v>
      </c>
      <c r="C211" s="12" t="s">
        <v>109</v>
      </c>
      <c r="D211" s="5">
        <v>81375</v>
      </c>
      <c r="E211" s="5">
        <v>91855</v>
      </c>
      <c r="F211" s="5">
        <f>336276-225821</f>
        <v>110455</v>
      </c>
    </row>
    <row r="212" spans="1:6">
      <c r="A212">
        <v>60</v>
      </c>
      <c r="C212" s="12" t="s">
        <v>110</v>
      </c>
      <c r="D212" s="5">
        <v>8400</v>
      </c>
      <c r="E212" s="5"/>
      <c r="F212" s="5">
        <f>32866.8-27643.4</f>
        <v>5223.4000000000015</v>
      </c>
    </row>
    <row r="213" spans="1:6">
      <c r="A213">
        <v>60</v>
      </c>
      <c r="C213" s="12" t="s">
        <v>111</v>
      </c>
      <c r="D213" s="5">
        <v>75000</v>
      </c>
      <c r="E213" s="5">
        <v>64520</v>
      </c>
      <c r="F213" s="5">
        <f>229567-170209</f>
        <v>59358</v>
      </c>
    </row>
    <row r="214" spans="1:6">
      <c r="A214">
        <v>60</v>
      </c>
      <c r="C214" s="12" t="s">
        <v>112</v>
      </c>
      <c r="D214" s="5">
        <v>3000</v>
      </c>
      <c r="F214" s="5">
        <f>6934-5393</f>
        <v>1541</v>
      </c>
    </row>
    <row r="215" spans="1:6">
      <c r="A215">
        <v>60</v>
      </c>
      <c r="C215" s="12" t="s">
        <v>113</v>
      </c>
      <c r="D215" s="5">
        <v>28875</v>
      </c>
      <c r="E215">
        <v>59691.34</v>
      </c>
      <c r="F215">
        <f>147350.77-99374.86</f>
        <v>47975.909999999989</v>
      </c>
    </row>
    <row r="216" spans="1:6">
      <c r="A216">
        <v>61</v>
      </c>
      <c r="B216">
        <v>3220</v>
      </c>
      <c r="C216" s="12" t="s">
        <v>114</v>
      </c>
      <c r="D216">
        <v>342631.41</v>
      </c>
      <c r="F216">
        <f>1331968.9-987722.12</f>
        <v>344246.77999999991</v>
      </c>
    </row>
    <row r="217" spans="1:6">
      <c r="A217">
        <v>61</v>
      </c>
      <c r="C217" s="12" t="s">
        <v>116</v>
      </c>
      <c r="D217">
        <v>317631.40999999997</v>
      </c>
      <c r="E217">
        <v>316879.49</v>
      </c>
      <c r="F217">
        <f>1231216.98-917142.38</f>
        <v>314074.59999999998</v>
      </c>
    </row>
    <row r="218" spans="1:6">
      <c r="A218">
        <v>61</v>
      </c>
      <c r="C218" s="12" t="s">
        <v>115</v>
      </c>
      <c r="D218" s="5">
        <v>25000</v>
      </c>
      <c r="E218">
        <v>25751.919999999998</v>
      </c>
      <c r="F218">
        <f>100751.92-70579.74</f>
        <v>30172.179999999993</v>
      </c>
    </row>
    <row r="219" spans="1:6">
      <c r="A219">
        <v>62</v>
      </c>
      <c r="B219">
        <v>3310</v>
      </c>
      <c r="C219" s="12" t="s">
        <v>118</v>
      </c>
      <c r="D219">
        <v>43803.21</v>
      </c>
      <c r="E219">
        <v>72986.87</v>
      </c>
      <c r="F219">
        <f>121296.81-113172.08</f>
        <v>8124.7299999999959</v>
      </c>
    </row>
    <row r="220" spans="1:6">
      <c r="A220">
        <v>62</v>
      </c>
      <c r="C220" s="12" t="s">
        <v>119</v>
      </c>
      <c r="D220" s="5">
        <v>17500</v>
      </c>
      <c r="E220" s="5">
        <v>37500</v>
      </c>
      <c r="F220">
        <f>36538.66-36538.66</f>
        <v>0</v>
      </c>
    </row>
    <row r="221" spans="1:6">
      <c r="A221">
        <v>62</v>
      </c>
      <c r="C221" s="9" t="s">
        <v>120</v>
      </c>
      <c r="D221" s="5">
        <v>2500</v>
      </c>
      <c r="F221">
        <v>0</v>
      </c>
    </row>
    <row r="222" spans="1:6">
      <c r="A222">
        <v>62</v>
      </c>
      <c r="C222" s="12" t="s">
        <v>121</v>
      </c>
      <c r="D222" s="5">
        <v>5000</v>
      </c>
      <c r="E222">
        <v>-5816.34</v>
      </c>
      <c r="F222">
        <v>0</v>
      </c>
    </row>
    <row r="223" spans="1:6">
      <c r="A223">
        <v>62</v>
      </c>
      <c r="C223" s="12" t="s">
        <v>122</v>
      </c>
      <c r="D223">
        <v>18803.21</v>
      </c>
      <c r="E223">
        <v>38803.21</v>
      </c>
      <c r="F223">
        <f>84758.15-76633.42</f>
        <v>8124.7299999999959</v>
      </c>
    </row>
    <row r="224" spans="1:6">
      <c r="A224">
        <v>63</v>
      </c>
      <c r="B224">
        <v>3410</v>
      </c>
      <c r="C224" s="12" t="s">
        <v>123</v>
      </c>
      <c r="D224" s="5">
        <v>26400</v>
      </c>
      <c r="F224">
        <f>61063.85-52042.02</f>
        <v>9021.8300000000017</v>
      </c>
    </row>
    <row r="225" spans="1:6">
      <c r="A225">
        <v>63</v>
      </c>
      <c r="C225" s="12" t="s">
        <v>124</v>
      </c>
      <c r="D225" s="5">
        <v>8250</v>
      </c>
      <c r="F225">
        <f>18850-14979.56</f>
        <v>3870.4400000000005</v>
      </c>
    </row>
    <row r="226" spans="1:6">
      <c r="A226">
        <v>63</v>
      </c>
      <c r="C226" s="12" t="s">
        <v>125</v>
      </c>
      <c r="D226" s="5">
        <v>18150</v>
      </c>
      <c r="F226">
        <f>42213.85-37062.46</f>
        <v>5151.3899999999994</v>
      </c>
    </row>
    <row r="227" spans="1:6">
      <c r="A227">
        <v>64</v>
      </c>
      <c r="B227">
        <v>3500</v>
      </c>
      <c r="C227" s="12" t="s">
        <v>127</v>
      </c>
      <c r="D227">
        <v>57012.52</v>
      </c>
      <c r="F227">
        <f>110086.18-92104.88</f>
        <v>17981.299999999988</v>
      </c>
    </row>
    <row r="228" spans="1:6">
      <c r="A228">
        <v>64</v>
      </c>
      <c r="C228" s="12" t="s">
        <v>128</v>
      </c>
      <c r="D228" s="5">
        <v>7350</v>
      </c>
      <c r="F228" s="5">
        <f>27168-19762</f>
        <v>7406</v>
      </c>
    </row>
    <row r="229" spans="1:6">
      <c r="A229">
        <v>64</v>
      </c>
      <c r="C229" s="12" t="s">
        <v>129</v>
      </c>
      <c r="D229">
        <v>13998.01</v>
      </c>
      <c r="F229" s="5">
        <f>24795-18763</f>
        <v>6032</v>
      </c>
    </row>
    <row r="230" spans="1:6">
      <c r="A230">
        <v>64</v>
      </c>
      <c r="C230" s="12" t="s">
        <v>130</v>
      </c>
      <c r="D230">
        <v>13998.01</v>
      </c>
      <c r="F230" s="5">
        <f>15960.06-13907.06</f>
        <v>2053</v>
      </c>
    </row>
    <row r="231" spans="1:6">
      <c r="A231">
        <v>64</v>
      </c>
      <c r="C231" s="12" t="s">
        <v>131</v>
      </c>
      <c r="D231" s="5">
        <v>16666.5</v>
      </c>
      <c r="F231">
        <f>36002.56-33543.01</f>
        <v>2459.5499999999956</v>
      </c>
    </row>
    <row r="232" spans="1:6">
      <c r="A232">
        <v>64</v>
      </c>
      <c r="C232" s="12" t="s">
        <v>132</v>
      </c>
      <c r="D232" s="5">
        <v>5000</v>
      </c>
      <c r="F232">
        <f>6160.56-6129.81</f>
        <v>30.75</v>
      </c>
    </row>
    <row r="233" spans="1:6">
      <c r="A233">
        <v>65</v>
      </c>
      <c r="B233">
        <v>3610</v>
      </c>
      <c r="C233" s="12" t="s">
        <v>133</v>
      </c>
      <c r="D233">
        <v>40642.47</v>
      </c>
      <c r="F233" s="5">
        <f>23103.07-14931.07</f>
        <v>8172</v>
      </c>
    </row>
    <row r="234" spans="1:6">
      <c r="A234">
        <v>65</v>
      </c>
      <c r="C234" s="12" t="s">
        <v>134</v>
      </c>
      <c r="D234">
        <v>40642.47</v>
      </c>
      <c r="F234" s="5">
        <v>8172</v>
      </c>
    </row>
    <row r="235" spans="1:6">
      <c r="A235">
        <v>66</v>
      </c>
      <c r="B235">
        <v>3750</v>
      </c>
      <c r="C235" s="12" t="s">
        <v>135</v>
      </c>
      <c r="D235" s="5">
        <v>93750</v>
      </c>
      <c r="F235">
        <f>199846.85-130376.3</f>
        <v>69470.55</v>
      </c>
    </row>
    <row r="236" spans="1:6">
      <c r="A236">
        <v>66</v>
      </c>
      <c r="C236" s="12" t="s">
        <v>136</v>
      </c>
      <c r="D236" s="5">
        <v>28750</v>
      </c>
      <c r="F236" s="5">
        <f>89591-64125</f>
        <v>25466</v>
      </c>
    </row>
    <row r="237" spans="1:6">
      <c r="A237">
        <v>66</v>
      </c>
      <c r="C237" s="12" t="s">
        <v>137</v>
      </c>
      <c r="D237" s="5">
        <v>65000</v>
      </c>
      <c r="F237">
        <f>110255.85-66251.3</f>
        <v>44004.55</v>
      </c>
    </row>
    <row r="238" spans="1:6">
      <c r="A238">
        <v>67</v>
      </c>
      <c r="B238">
        <v>3820</v>
      </c>
      <c r="C238" s="12" t="s">
        <v>139</v>
      </c>
      <c r="D238" s="5">
        <v>75000</v>
      </c>
      <c r="F238">
        <f>207321.93-98409.6</f>
        <v>108912.32999999999</v>
      </c>
    </row>
    <row r="239" spans="1:6">
      <c r="A239">
        <v>67</v>
      </c>
      <c r="C239" s="12" t="s">
        <v>140</v>
      </c>
      <c r="D239" s="5">
        <v>75000</v>
      </c>
      <c r="F239">
        <v>108912.33</v>
      </c>
    </row>
    <row r="240" spans="1:6">
      <c r="A240">
        <v>68</v>
      </c>
      <c r="B240">
        <v>3960</v>
      </c>
      <c r="C240" s="12" t="s">
        <v>141</v>
      </c>
      <c r="D240">
        <v>96904.89</v>
      </c>
      <c r="E240">
        <v>107820.96</v>
      </c>
      <c r="F240">
        <f>382866.35-260566.86</f>
        <v>122299.48999999999</v>
      </c>
    </row>
    <row r="241" spans="1:6">
      <c r="A241">
        <v>68</v>
      </c>
      <c r="C241" s="12" t="s">
        <v>142</v>
      </c>
      <c r="D241" s="5">
        <v>7500</v>
      </c>
      <c r="F241">
        <v>0</v>
      </c>
    </row>
    <row r="242" spans="1:6">
      <c r="A242">
        <v>68</v>
      </c>
      <c r="C242" s="12" t="s">
        <v>143</v>
      </c>
      <c r="D242" s="5">
        <v>4075</v>
      </c>
      <c r="F242">
        <v>0</v>
      </c>
    </row>
    <row r="243" spans="1:6">
      <c r="A243">
        <v>68</v>
      </c>
      <c r="C243" s="12" t="s">
        <v>144</v>
      </c>
      <c r="D243" s="5">
        <v>85329.897466666676</v>
      </c>
      <c r="E243">
        <v>10916.07</v>
      </c>
      <c r="F243">
        <f>368510.83-246211.34</f>
        <v>122299.49000000002</v>
      </c>
    </row>
    <row r="244" spans="1:6">
      <c r="A244">
        <v>69</v>
      </c>
      <c r="B244">
        <v>1130</v>
      </c>
      <c r="C244" s="12" t="s">
        <v>72</v>
      </c>
      <c r="D244">
        <v>1680185.4600000002</v>
      </c>
      <c r="F244">
        <v>1580782.69</v>
      </c>
    </row>
    <row r="245" spans="1:6">
      <c r="A245">
        <v>69</v>
      </c>
      <c r="C245" s="12" t="s">
        <v>79</v>
      </c>
      <c r="D245" s="5">
        <v>11680185.460000001</v>
      </c>
      <c r="F245">
        <v>1580782.69</v>
      </c>
    </row>
    <row r="246" spans="1:6">
      <c r="A246">
        <v>70</v>
      </c>
      <c r="B246">
        <v>1340</v>
      </c>
      <c r="C246" s="4" t="s">
        <v>76</v>
      </c>
      <c r="D246">
        <v>2079812.5100000002</v>
      </c>
      <c r="F246">
        <v>2048894.65</v>
      </c>
    </row>
    <row r="247" spans="1:6">
      <c r="A247">
        <v>70</v>
      </c>
      <c r="C247" s="6" t="s">
        <v>80</v>
      </c>
      <c r="D247" s="5">
        <v>0</v>
      </c>
    </row>
    <row r="248" spans="1:6">
      <c r="A248">
        <v>70</v>
      </c>
      <c r="C248" s="6" t="s">
        <v>81</v>
      </c>
      <c r="D248" s="5">
        <v>12500</v>
      </c>
      <c r="F248">
        <v>0</v>
      </c>
    </row>
    <row r="249" spans="1:6">
      <c r="A249">
        <v>70</v>
      </c>
      <c r="C249" s="6" t="s">
        <v>82</v>
      </c>
      <c r="D249">
        <v>2067312.5100000002</v>
      </c>
      <c r="F249">
        <v>2048894.65</v>
      </c>
    </row>
    <row r="250" spans="1:6">
      <c r="A250">
        <v>71</v>
      </c>
      <c r="B250">
        <v>1410</v>
      </c>
      <c r="C250" s="6" t="s">
        <v>83</v>
      </c>
      <c r="D250">
        <v>427692.19</v>
      </c>
      <c r="F250">
        <v>419174.01</v>
      </c>
    </row>
    <row r="251" spans="1:6">
      <c r="A251">
        <v>71</v>
      </c>
      <c r="C251" s="8" t="s">
        <v>84</v>
      </c>
      <c r="D251">
        <v>427692.19</v>
      </c>
      <c r="F251">
        <v>419174.01</v>
      </c>
    </row>
    <row r="252" spans="1:6">
      <c r="A252">
        <v>72</v>
      </c>
      <c r="B252">
        <v>1590</v>
      </c>
      <c r="C252" s="9" t="s">
        <v>85</v>
      </c>
      <c r="D252" s="5">
        <v>381396</v>
      </c>
      <c r="F252">
        <v>354629.5</v>
      </c>
    </row>
    <row r="253" spans="1:6">
      <c r="A253">
        <v>72</v>
      </c>
      <c r="C253" s="9" t="s">
        <v>86</v>
      </c>
      <c r="D253" s="5">
        <v>170436</v>
      </c>
      <c r="F253">
        <v>157925.5</v>
      </c>
    </row>
    <row r="254" spans="1:6">
      <c r="A254">
        <v>72</v>
      </c>
      <c r="C254" s="9" t="s">
        <v>87</v>
      </c>
      <c r="D254" s="5">
        <v>210960</v>
      </c>
      <c r="F254" s="5">
        <v>196704</v>
      </c>
    </row>
    <row r="255" spans="1:6">
      <c r="A255">
        <v>73</v>
      </c>
      <c r="B255">
        <v>1710</v>
      </c>
      <c r="C255" s="9" t="s">
        <v>88</v>
      </c>
      <c r="D255">
        <v>121411.92</v>
      </c>
      <c r="F255">
        <v>43500.22</v>
      </c>
    </row>
    <row r="256" spans="1:6">
      <c r="A256">
        <v>73</v>
      </c>
      <c r="C256" s="12" t="s">
        <v>89</v>
      </c>
      <c r="D256" s="5">
        <v>121411.92</v>
      </c>
      <c r="F256">
        <v>43500.22</v>
      </c>
    </row>
    <row r="257" spans="1:6">
      <c r="A257">
        <v>74</v>
      </c>
      <c r="B257">
        <v>2110</v>
      </c>
      <c r="C257" s="12" t="s">
        <v>92</v>
      </c>
      <c r="D257" s="5">
        <v>94934.7</v>
      </c>
      <c r="F257">
        <v>93061.96</v>
      </c>
    </row>
    <row r="258" spans="1:6">
      <c r="A258">
        <v>74</v>
      </c>
      <c r="C258" s="12" t="s">
        <v>93</v>
      </c>
      <c r="D258" s="5">
        <v>49500</v>
      </c>
      <c r="F258">
        <v>56926.98</v>
      </c>
    </row>
    <row r="259" spans="1:6">
      <c r="A259">
        <v>74</v>
      </c>
      <c r="C259" s="12" t="s">
        <v>94</v>
      </c>
      <c r="D259" s="5">
        <v>38225</v>
      </c>
      <c r="F259">
        <v>25393.07</v>
      </c>
    </row>
    <row r="260" spans="1:6">
      <c r="A260">
        <v>74</v>
      </c>
      <c r="C260" s="12" t="s">
        <v>95</v>
      </c>
      <c r="D260">
        <v>14709.7</v>
      </c>
      <c r="F260">
        <v>0</v>
      </c>
    </row>
    <row r="261" spans="1:6">
      <c r="A261">
        <v>74</v>
      </c>
      <c r="C261" s="12" t="s">
        <v>96</v>
      </c>
      <c r="D261" s="5">
        <v>12500</v>
      </c>
      <c r="E261">
        <v>-7500</v>
      </c>
      <c r="F261">
        <v>10741.91</v>
      </c>
    </row>
    <row r="262" spans="1:6">
      <c r="A262">
        <v>75</v>
      </c>
      <c r="B262">
        <v>2610</v>
      </c>
      <c r="C262" s="12" t="s">
        <v>97</v>
      </c>
      <c r="D262" s="5">
        <v>100000</v>
      </c>
      <c r="F262">
        <v>102416.36</v>
      </c>
    </row>
    <row r="263" spans="1:6">
      <c r="A263">
        <v>75</v>
      </c>
      <c r="C263" s="12" t="s">
        <v>98</v>
      </c>
      <c r="D263" s="5">
        <v>100000</v>
      </c>
      <c r="F263">
        <v>102416.36</v>
      </c>
    </row>
    <row r="264" spans="1:6">
      <c r="A264">
        <v>76</v>
      </c>
      <c r="B264">
        <v>2900</v>
      </c>
      <c r="C264" s="12" t="s">
        <v>101</v>
      </c>
      <c r="D264">
        <v>57734.25</v>
      </c>
      <c r="F264">
        <v>29525.759999999998</v>
      </c>
    </row>
    <row r="265" spans="1:6">
      <c r="A265">
        <v>76</v>
      </c>
      <c r="C265" s="12" t="s">
        <v>102</v>
      </c>
      <c r="D265">
        <v>6421.75</v>
      </c>
      <c r="F265">
        <v>2821.85</v>
      </c>
    </row>
    <row r="266" spans="1:6">
      <c r="A266">
        <v>76</v>
      </c>
      <c r="C266" s="12" t="s">
        <v>103</v>
      </c>
      <c r="D266" s="5">
        <v>6875</v>
      </c>
      <c r="F266" s="5">
        <v>1074.5</v>
      </c>
    </row>
    <row r="267" spans="1:6">
      <c r="A267">
        <v>76</v>
      </c>
      <c r="C267" s="12" t="s">
        <v>104</v>
      </c>
      <c r="D267" s="5">
        <v>15000</v>
      </c>
      <c r="F267">
        <v>19396.849999999999</v>
      </c>
    </row>
    <row r="268" spans="1:6">
      <c r="A268">
        <v>76</v>
      </c>
      <c r="C268" s="12" t="s">
        <v>105</v>
      </c>
      <c r="D268" s="5">
        <v>14437.5</v>
      </c>
      <c r="F268">
        <v>7222.52</v>
      </c>
    </row>
    <row r="269" spans="1:6">
      <c r="A269">
        <v>76</v>
      </c>
      <c r="C269" s="12" t="s">
        <v>106</v>
      </c>
      <c r="D269" s="5">
        <v>15000</v>
      </c>
      <c r="F269">
        <v>9010.0400000000009</v>
      </c>
    </row>
    <row r="270" spans="1:6">
      <c r="A270">
        <v>77</v>
      </c>
      <c r="B270">
        <v>3110</v>
      </c>
      <c r="C270" s="12" t="s">
        <v>108</v>
      </c>
      <c r="D270">
        <v>198039.55</v>
      </c>
      <c r="F270">
        <v>135848.35999999999</v>
      </c>
    </row>
    <row r="271" spans="1:6">
      <c r="A271">
        <v>77</v>
      </c>
      <c r="C271" s="12" t="s">
        <v>109</v>
      </c>
      <c r="D271" s="5">
        <v>81375</v>
      </c>
      <c r="F271" s="5">
        <v>30145</v>
      </c>
    </row>
    <row r="272" spans="1:6">
      <c r="A272">
        <v>77</v>
      </c>
      <c r="C272" s="12" t="s">
        <v>110</v>
      </c>
      <c r="D272" s="5">
        <v>8400</v>
      </c>
      <c r="F272" s="5">
        <v>5132</v>
      </c>
    </row>
    <row r="273" spans="1:6">
      <c r="A273">
        <v>77</v>
      </c>
      <c r="C273" s="12" t="s">
        <v>111</v>
      </c>
      <c r="D273" s="5">
        <v>75000</v>
      </c>
      <c r="F273" s="5">
        <v>57289</v>
      </c>
    </row>
    <row r="274" spans="1:6">
      <c r="A274">
        <v>77</v>
      </c>
      <c r="C274" s="12" t="s">
        <v>112</v>
      </c>
      <c r="D274">
        <v>4389.55</v>
      </c>
      <c r="F274" s="5">
        <v>1894</v>
      </c>
    </row>
    <row r="275" spans="1:6">
      <c r="A275">
        <v>77</v>
      </c>
      <c r="C275" s="12" t="s">
        <v>113</v>
      </c>
      <c r="D275" s="5">
        <v>28875</v>
      </c>
      <c r="F275" s="5">
        <v>41388.36</v>
      </c>
    </row>
    <row r="276" spans="1:6">
      <c r="A276">
        <v>78</v>
      </c>
      <c r="B276">
        <v>3220</v>
      </c>
      <c r="C276" s="12" t="s">
        <v>114</v>
      </c>
      <c r="D276">
        <v>342631.41</v>
      </c>
      <c r="F276" s="5">
        <v>320982.03999999998</v>
      </c>
    </row>
    <row r="277" spans="1:6">
      <c r="A277">
        <v>78</v>
      </c>
      <c r="C277" s="12" t="s">
        <v>116</v>
      </c>
      <c r="D277">
        <v>317631.40999999997</v>
      </c>
      <c r="F277" s="5">
        <v>299870.03999999998</v>
      </c>
    </row>
    <row r="278" spans="1:6">
      <c r="A278">
        <v>78</v>
      </c>
      <c r="C278" s="12" t="s">
        <v>115</v>
      </c>
      <c r="D278" s="5">
        <v>25000</v>
      </c>
      <c r="F278" s="5">
        <v>21112</v>
      </c>
    </row>
    <row r="279" spans="1:6">
      <c r="A279">
        <v>79</v>
      </c>
      <c r="B279">
        <v>3310</v>
      </c>
      <c r="C279" s="12" t="s">
        <v>118</v>
      </c>
      <c r="D279">
        <v>43803.21</v>
      </c>
      <c r="F279" s="5">
        <v>13346.05</v>
      </c>
    </row>
    <row r="280" spans="1:6">
      <c r="A280">
        <v>79</v>
      </c>
      <c r="C280" s="12" t="s">
        <v>119</v>
      </c>
      <c r="D280" s="5">
        <v>17500</v>
      </c>
      <c r="F280" s="5">
        <v>4016.21</v>
      </c>
    </row>
    <row r="281" spans="1:6">
      <c r="A281">
        <v>79</v>
      </c>
      <c r="C281" s="9" t="s">
        <v>120</v>
      </c>
      <c r="D281" s="5">
        <v>2500</v>
      </c>
      <c r="F281" s="5">
        <v>0</v>
      </c>
    </row>
    <row r="282" spans="1:6">
      <c r="A282">
        <v>79</v>
      </c>
      <c r="C282" s="12" t="s">
        <v>121</v>
      </c>
      <c r="D282" s="5">
        <v>5000</v>
      </c>
      <c r="F282" s="5">
        <v>0</v>
      </c>
    </row>
    <row r="283" spans="1:6">
      <c r="A283">
        <v>79</v>
      </c>
      <c r="C283" s="12" t="s">
        <v>122</v>
      </c>
      <c r="D283" s="5">
        <v>18803.22</v>
      </c>
      <c r="F283" s="5">
        <v>9329.84</v>
      </c>
    </row>
    <row r="284" spans="1:6">
      <c r="A284">
        <v>80</v>
      </c>
      <c r="B284">
        <v>3410</v>
      </c>
      <c r="C284" s="12" t="s">
        <v>123</v>
      </c>
      <c r="D284" s="5">
        <v>264000</v>
      </c>
      <c r="F284" s="5">
        <v>4154.84</v>
      </c>
    </row>
    <row r="285" spans="1:6">
      <c r="A285">
        <v>80</v>
      </c>
      <c r="C285" s="12" t="s">
        <v>124</v>
      </c>
      <c r="D285" s="5">
        <v>8250</v>
      </c>
      <c r="F285" s="5">
        <v>4154.84</v>
      </c>
    </row>
    <row r="286" spans="1:6">
      <c r="A286">
        <v>80</v>
      </c>
      <c r="C286" s="12" t="s">
        <v>125</v>
      </c>
      <c r="D286" s="5">
        <v>18150</v>
      </c>
      <c r="F286" s="5">
        <v>0</v>
      </c>
    </row>
    <row r="287" spans="1:6">
      <c r="A287">
        <v>81</v>
      </c>
      <c r="B287">
        <v>3500</v>
      </c>
      <c r="C287" s="12" t="s">
        <v>127</v>
      </c>
      <c r="D287">
        <v>57012.52</v>
      </c>
      <c r="E287">
        <v>77012.52</v>
      </c>
      <c r="F287" s="5">
        <v>42063.96</v>
      </c>
    </row>
    <row r="288" spans="1:6">
      <c r="A288">
        <v>81</v>
      </c>
      <c r="C288" s="12" t="s">
        <v>128</v>
      </c>
      <c r="D288" s="5">
        <v>7350</v>
      </c>
      <c r="F288" s="5">
        <v>5510</v>
      </c>
    </row>
    <row r="289" spans="1:6">
      <c r="A289">
        <v>81</v>
      </c>
      <c r="C289" s="12" t="s">
        <v>129</v>
      </c>
      <c r="D289">
        <v>13998.01</v>
      </c>
      <c r="F289" s="5">
        <v>2149</v>
      </c>
    </row>
    <row r="290" spans="1:6">
      <c r="A290">
        <v>81</v>
      </c>
      <c r="C290" s="12" t="s">
        <v>130</v>
      </c>
      <c r="D290">
        <v>13998.01</v>
      </c>
      <c r="F290" s="5">
        <v>13340</v>
      </c>
    </row>
    <row r="291" spans="1:6">
      <c r="A291">
        <v>81</v>
      </c>
      <c r="C291" s="12" t="s">
        <v>131</v>
      </c>
      <c r="D291" s="5">
        <v>16666.5</v>
      </c>
      <c r="F291" s="5">
        <v>15116.96</v>
      </c>
    </row>
    <row r="292" spans="1:6">
      <c r="A292">
        <v>81</v>
      </c>
      <c r="C292" s="12" t="s">
        <v>132</v>
      </c>
      <c r="D292" s="5">
        <v>5000</v>
      </c>
      <c r="E292" s="5">
        <v>2000</v>
      </c>
      <c r="F292" s="5">
        <f>5568+380</f>
        <v>5948</v>
      </c>
    </row>
    <row r="293" spans="1:6">
      <c r="A293">
        <v>82</v>
      </c>
      <c r="B293">
        <v>3610</v>
      </c>
      <c r="C293" s="12" t="s">
        <v>133</v>
      </c>
      <c r="D293">
        <v>40642.47</v>
      </c>
      <c r="F293" s="5">
        <v>59160</v>
      </c>
    </row>
    <row r="294" spans="1:6">
      <c r="A294">
        <v>82</v>
      </c>
      <c r="C294" s="12" t="s">
        <v>134</v>
      </c>
      <c r="D294">
        <v>40642.47</v>
      </c>
      <c r="F294" s="5">
        <v>59160</v>
      </c>
    </row>
    <row r="295" spans="1:6">
      <c r="A295">
        <v>83</v>
      </c>
      <c r="B295">
        <v>3750</v>
      </c>
      <c r="C295" s="12" t="s">
        <v>135</v>
      </c>
      <c r="D295" s="5">
        <v>93750</v>
      </c>
      <c r="F295" s="5">
        <v>37836.35</v>
      </c>
    </row>
    <row r="296" spans="1:6">
      <c r="A296">
        <v>83</v>
      </c>
      <c r="C296" s="12" t="s">
        <v>136</v>
      </c>
      <c r="D296" s="5">
        <v>28750</v>
      </c>
      <c r="F296" s="5">
        <v>0</v>
      </c>
    </row>
    <row r="297" spans="1:6">
      <c r="A297">
        <v>83</v>
      </c>
      <c r="C297" s="12" t="s">
        <v>137</v>
      </c>
      <c r="D297" s="5">
        <v>65000</v>
      </c>
      <c r="F297" s="5">
        <v>37836.35</v>
      </c>
    </row>
    <row r="298" spans="1:6">
      <c r="A298">
        <v>84</v>
      </c>
      <c r="B298">
        <v>3820</v>
      </c>
      <c r="C298" s="12" t="s">
        <v>139</v>
      </c>
      <c r="D298" s="5">
        <v>62500</v>
      </c>
      <c r="F298" s="5">
        <v>42254.55</v>
      </c>
    </row>
    <row r="299" spans="1:6">
      <c r="A299">
        <v>84</v>
      </c>
      <c r="C299" s="12" t="s">
        <v>140</v>
      </c>
      <c r="D299" s="5">
        <v>62500</v>
      </c>
      <c r="F299" s="5">
        <v>42254.55</v>
      </c>
    </row>
    <row r="300" spans="1:6">
      <c r="A300">
        <v>85</v>
      </c>
      <c r="B300">
        <v>3960</v>
      </c>
      <c r="C300" s="12" t="s">
        <v>141</v>
      </c>
      <c r="D300">
        <v>110744.35</v>
      </c>
      <c r="F300" s="5">
        <v>91618.4</v>
      </c>
    </row>
    <row r="301" spans="1:6">
      <c r="A301">
        <v>85</v>
      </c>
      <c r="C301" s="12" t="s">
        <v>142</v>
      </c>
      <c r="D301" s="5">
        <v>7500</v>
      </c>
      <c r="F301" s="5">
        <v>11905</v>
      </c>
    </row>
    <row r="302" spans="1:6">
      <c r="A302">
        <v>85</v>
      </c>
      <c r="C302" s="12" t="s">
        <v>143</v>
      </c>
      <c r="D302" s="5">
        <v>4075</v>
      </c>
      <c r="F302" s="5">
        <v>0</v>
      </c>
    </row>
    <row r="303" spans="1:6">
      <c r="A303">
        <v>85</v>
      </c>
      <c r="C303" s="12" t="s">
        <v>144</v>
      </c>
      <c r="D303">
        <v>99169.35</v>
      </c>
      <c r="F303" s="5">
        <v>79713.399999999994</v>
      </c>
    </row>
    <row r="304" spans="1:6">
      <c r="A304">
        <v>86</v>
      </c>
      <c r="B304">
        <v>1130</v>
      </c>
      <c r="C304" s="12" t="s">
        <v>72</v>
      </c>
      <c r="D304">
        <v>1680185.4600000002</v>
      </c>
      <c r="E304">
        <v>1982618.8400000003</v>
      </c>
      <c r="F304">
        <f>3319832.07-1580782.69</f>
        <v>1739049.38</v>
      </c>
    </row>
    <row r="305" spans="1:6">
      <c r="A305">
        <v>86</v>
      </c>
      <c r="C305" s="12" t="s">
        <v>79</v>
      </c>
      <c r="D305">
        <v>1680185.46</v>
      </c>
      <c r="E305">
        <v>1982618.84</v>
      </c>
      <c r="F305" s="5">
        <v>1739049.38</v>
      </c>
    </row>
    <row r="306" spans="1:6">
      <c r="A306">
        <v>87</v>
      </c>
      <c r="B306">
        <v>1340</v>
      </c>
      <c r="C306" s="4" t="s">
        <v>76</v>
      </c>
      <c r="D306">
        <v>2079812.5100000002</v>
      </c>
      <c r="E306">
        <v>2159240.37</v>
      </c>
      <c r="F306">
        <f>4102844.26-2048894.65</f>
        <v>2053949.6099999999</v>
      </c>
    </row>
    <row r="307" spans="1:6">
      <c r="A307">
        <v>87</v>
      </c>
      <c r="C307" s="6" t="s">
        <v>80</v>
      </c>
      <c r="D307">
        <v>0</v>
      </c>
      <c r="E307">
        <v>79427.86</v>
      </c>
      <c r="F307" s="5">
        <v>5568.64</v>
      </c>
    </row>
    <row r="308" spans="1:6">
      <c r="A308">
        <v>87</v>
      </c>
      <c r="C308" s="6" t="s">
        <v>81</v>
      </c>
      <c r="D308">
        <v>12500</v>
      </c>
      <c r="F308">
        <v>222.06</v>
      </c>
    </row>
    <row r="309" spans="1:6">
      <c r="A309">
        <v>87</v>
      </c>
      <c r="C309" s="6" t="s">
        <v>82</v>
      </c>
      <c r="D309">
        <v>2067312.5100000002</v>
      </c>
      <c r="F309">
        <f>4097053.56-2048894.65</f>
        <v>2048158.9100000001</v>
      </c>
    </row>
    <row r="310" spans="1:6">
      <c r="A310">
        <v>88</v>
      </c>
      <c r="B310">
        <v>1410</v>
      </c>
      <c r="C310" s="6" t="s">
        <v>83</v>
      </c>
      <c r="D310">
        <v>427692.19</v>
      </c>
      <c r="E310">
        <v>503216.34</v>
      </c>
      <c r="F310">
        <f>858020.42-419174.01</f>
        <v>438846.41000000003</v>
      </c>
    </row>
    <row r="311" spans="1:6">
      <c r="A311">
        <v>88</v>
      </c>
      <c r="C311" s="8" t="s">
        <v>84</v>
      </c>
      <c r="D311">
        <v>427692.19</v>
      </c>
      <c r="E311">
        <v>503216.34</v>
      </c>
      <c r="F311">
        <v>438846.41</v>
      </c>
    </row>
    <row r="312" spans="1:6">
      <c r="A312">
        <v>89</v>
      </c>
      <c r="B312">
        <v>1590</v>
      </c>
      <c r="C312" s="9" t="s">
        <v>85</v>
      </c>
      <c r="D312" s="5">
        <v>398396</v>
      </c>
      <c r="E312" s="5">
        <v>432468</v>
      </c>
      <c r="F312">
        <f>817575.68-354629.5</f>
        <v>462946.18000000005</v>
      </c>
    </row>
    <row r="313" spans="1:6">
      <c r="A313">
        <v>89</v>
      </c>
      <c r="C313" s="9" t="s">
        <v>86</v>
      </c>
      <c r="D313" s="5">
        <v>140436</v>
      </c>
      <c r="E313" s="5">
        <v>170436</v>
      </c>
      <c r="F313">
        <f>42596.93+289687.5-157925.2</f>
        <v>174359.22999999998</v>
      </c>
    </row>
    <row r="314" spans="1:6">
      <c r="A314">
        <v>89</v>
      </c>
      <c r="C314" s="9" t="s">
        <v>87</v>
      </c>
      <c r="D314" s="5">
        <v>210960</v>
      </c>
      <c r="F314">
        <f>485291.25-157925.5</f>
        <v>327365.75</v>
      </c>
    </row>
    <row r="315" spans="1:6">
      <c r="A315">
        <v>90</v>
      </c>
      <c r="B315">
        <v>1710</v>
      </c>
      <c r="C315" s="9" t="s">
        <v>88</v>
      </c>
      <c r="D315">
        <v>121411.92</v>
      </c>
      <c r="F315">
        <f>83459.9-43500.22</f>
        <v>39959.679999999993</v>
      </c>
    </row>
    <row r="316" spans="1:6">
      <c r="A316">
        <v>90</v>
      </c>
      <c r="C316" s="12" t="s">
        <v>89</v>
      </c>
      <c r="D316" s="5">
        <v>121411.92</v>
      </c>
      <c r="F316">
        <v>39959.68</v>
      </c>
    </row>
    <row r="317" spans="1:6">
      <c r="A317">
        <v>91</v>
      </c>
      <c r="B317">
        <v>2110</v>
      </c>
      <c r="C317" s="12" t="s">
        <v>92</v>
      </c>
      <c r="D317">
        <v>114934.7</v>
      </c>
      <c r="F317">
        <f>204972.3-93061.96</f>
        <v>111910.33999999998</v>
      </c>
    </row>
    <row r="318" spans="1:6">
      <c r="A318">
        <v>91</v>
      </c>
      <c r="C318" s="12" t="s">
        <v>93</v>
      </c>
      <c r="D318" s="5">
        <v>49500</v>
      </c>
      <c r="F318">
        <f>123975.82-56926.98</f>
        <v>67048.84</v>
      </c>
    </row>
    <row r="319" spans="1:6">
      <c r="A319">
        <v>91</v>
      </c>
      <c r="C319" s="12" t="s">
        <v>94</v>
      </c>
      <c r="D319" s="5">
        <v>38225</v>
      </c>
      <c r="F319">
        <f>53614.19-25393.07</f>
        <v>28221.120000000003</v>
      </c>
    </row>
    <row r="320" spans="1:6">
      <c r="A320">
        <v>91</v>
      </c>
      <c r="C320" s="12" t="s">
        <v>95</v>
      </c>
      <c r="D320" s="5">
        <v>14709.702499999999</v>
      </c>
      <c r="F320">
        <v>0</v>
      </c>
    </row>
    <row r="321" spans="1:6">
      <c r="A321">
        <v>91</v>
      </c>
      <c r="C321" s="12" t="s">
        <v>96</v>
      </c>
      <c r="D321" s="5">
        <v>12500</v>
      </c>
      <c r="F321">
        <f>27382.29-10741.91</f>
        <v>16640.38</v>
      </c>
    </row>
    <row r="322" spans="1:6">
      <c r="A322">
        <v>92</v>
      </c>
      <c r="B322">
        <v>2610</v>
      </c>
      <c r="C322" s="12" t="s">
        <v>97</v>
      </c>
      <c r="D322" s="5">
        <v>100000</v>
      </c>
      <c r="F322">
        <f>200815.24-102416.36</f>
        <v>98398.87999999999</v>
      </c>
    </row>
    <row r="323" spans="1:6">
      <c r="A323">
        <v>92</v>
      </c>
      <c r="C323" s="12" t="s">
        <v>98</v>
      </c>
      <c r="D323" s="5">
        <v>100000</v>
      </c>
      <c r="F323">
        <v>98398.88</v>
      </c>
    </row>
    <row r="324" spans="1:6">
      <c r="A324">
        <v>93</v>
      </c>
      <c r="B324">
        <v>2900</v>
      </c>
      <c r="C324" s="12" t="s">
        <v>101</v>
      </c>
      <c r="D324">
        <v>57734.25</v>
      </c>
      <c r="F324">
        <f>78748.65-39525.76</f>
        <v>39222.889999999992</v>
      </c>
    </row>
    <row r="325" spans="1:6">
      <c r="A325">
        <v>93</v>
      </c>
      <c r="C325" s="12" t="s">
        <v>102</v>
      </c>
      <c r="D325" s="5">
        <v>6421.75</v>
      </c>
      <c r="F325">
        <f>3979.94-2821.85</f>
        <v>1158.0900000000001</v>
      </c>
    </row>
    <row r="326" spans="1:6">
      <c r="A326">
        <v>93</v>
      </c>
      <c r="C326" s="12" t="s">
        <v>103</v>
      </c>
      <c r="D326" s="5">
        <v>6875</v>
      </c>
      <c r="F326">
        <f>15404.73-1074.5</f>
        <v>14330.23</v>
      </c>
    </row>
    <row r="327" spans="1:6">
      <c r="A327">
        <v>93</v>
      </c>
      <c r="C327" s="12" t="s">
        <v>104</v>
      </c>
      <c r="D327" s="5">
        <v>15000</v>
      </c>
      <c r="F327">
        <f>21345.65-19396.85</f>
        <v>1948.8000000000029</v>
      </c>
    </row>
    <row r="328" spans="1:6">
      <c r="A328">
        <v>93</v>
      </c>
      <c r="C328" s="12" t="s">
        <v>105</v>
      </c>
      <c r="D328" s="5">
        <v>14437.5</v>
      </c>
      <c r="F328">
        <f>15554.27-7222.52</f>
        <v>8331.75</v>
      </c>
    </row>
    <row r="329" spans="1:6">
      <c r="A329">
        <v>93</v>
      </c>
      <c r="C329" s="12" t="s">
        <v>106</v>
      </c>
      <c r="D329" s="5">
        <v>15000</v>
      </c>
      <c r="F329">
        <f>22464.06-9010.04</f>
        <v>13454.02</v>
      </c>
    </row>
    <row r="330" spans="1:6">
      <c r="A330">
        <v>94</v>
      </c>
      <c r="B330">
        <v>3110</v>
      </c>
      <c r="C330" s="12" t="s">
        <v>108</v>
      </c>
      <c r="D330" s="5">
        <v>198039.5575</v>
      </c>
      <c r="F330">
        <f>301638.69-135848.36</f>
        <v>165790.33000000002</v>
      </c>
    </row>
    <row r="331" spans="1:6">
      <c r="A331">
        <v>94</v>
      </c>
      <c r="C331" s="12" t="s">
        <v>109</v>
      </c>
      <c r="D331" s="5">
        <v>81375</v>
      </c>
      <c r="F331" s="5">
        <f>95191-30145</f>
        <v>65046</v>
      </c>
    </row>
    <row r="332" spans="1:6">
      <c r="A332">
        <v>94</v>
      </c>
      <c r="C332" s="12" t="s">
        <v>110</v>
      </c>
      <c r="D332" s="5">
        <v>8400</v>
      </c>
      <c r="F332" s="5">
        <f>11619-5132</f>
        <v>6487</v>
      </c>
    </row>
    <row r="333" spans="1:6">
      <c r="A333">
        <v>94</v>
      </c>
      <c r="C333" s="12" t="s">
        <v>111</v>
      </c>
      <c r="D333" s="5">
        <v>75000</v>
      </c>
      <c r="F333" s="5">
        <f>111630-57289</f>
        <v>54341</v>
      </c>
    </row>
    <row r="334" spans="1:6">
      <c r="A334">
        <v>94</v>
      </c>
      <c r="C334" s="12" t="s">
        <v>112</v>
      </c>
      <c r="D334" s="5">
        <v>4389.5574999999999</v>
      </c>
      <c r="F334" s="5">
        <f>3401-1894</f>
        <v>1507</v>
      </c>
    </row>
    <row r="335" spans="1:6">
      <c r="A335">
        <v>94</v>
      </c>
      <c r="C335" s="12" t="s">
        <v>113</v>
      </c>
      <c r="D335" s="5">
        <v>28875</v>
      </c>
      <c r="F335" s="5">
        <f>79797.69-41388.36</f>
        <v>38409.33</v>
      </c>
    </row>
    <row r="336" spans="1:6">
      <c r="A336">
        <v>95</v>
      </c>
      <c r="B336">
        <v>3220</v>
      </c>
      <c r="C336" s="12" t="s">
        <v>114</v>
      </c>
      <c r="D336" s="5">
        <v>342631.41249999998</v>
      </c>
      <c r="F336">
        <f>652141.16-320982.04</f>
        <v>331159.12000000005</v>
      </c>
    </row>
    <row r="337" spans="1:6">
      <c r="A337">
        <v>95</v>
      </c>
      <c r="C337" s="12" t="s">
        <v>116</v>
      </c>
      <c r="D337" s="5">
        <v>317631.41249999998</v>
      </c>
      <c r="F337">
        <f>599740.02-299870.04</f>
        <v>299869.98000000004</v>
      </c>
    </row>
    <row r="338" spans="1:6">
      <c r="A338">
        <v>95</v>
      </c>
      <c r="C338" s="12" t="s">
        <v>115</v>
      </c>
      <c r="D338" s="5">
        <v>25000</v>
      </c>
      <c r="F338">
        <f>52401.14-21112</f>
        <v>31289.14</v>
      </c>
    </row>
    <row r="339" spans="1:6">
      <c r="A339">
        <v>96</v>
      </c>
      <c r="B339">
        <v>3310</v>
      </c>
      <c r="C339" s="12" t="s">
        <v>118</v>
      </c>
      <c r="D339" s="5">
        <v>43803.214999999997</v>
      </c>
      <c r="F339">
        <f>49196.59-13346.05</f>
        <v>35850.539999999994</v>
      </c>
    </row>
    <row r="340" spans="1:6">
      <c r="A340">
        <v>96</v>
      </c>
      <c r="C340" s="12" t="s">
        <v>119</v>
      </c>
      <c r="D340" s="5">
        <v>17500</v>
      </c>
      <c r="F340">
        <f>27223.77-4016.21</f>
        <v>23207.56</v>
      </c>
    </row>
    <row r="341" spans="1:6">
      <c r="A341">
        <v>96</v>
      </c>
      <c r="C341" s="9" t="s">
        <v>120</v>
      </c>
      <c r="D341" s="5">
        <v>2500</v>
      </c>
      <c r="F341">
        <f>0</f>
        <v>0</v>
      </c>
    </row>
    <row r="342" spans="1:6">
      <c r="A342">
        <v>96</v>
      </c>
      <c r="C342" s="12" t="s">
        <v>121</v>
      </c>
      <c r="D342" s="5">
        <v>5000</v>
      </c>
      <c r="F342">
        <v>900</v>
      </c>
    </row>
    <row r="343" spans="1:6">
      <c r="A343">
        <v>96</v>
      </c>
      <c r="C343" s="12" t="s">
        <v>122</v>
      </c>
      <c r="D343" s="5">
        <v>18803.215</v>
      </c>
      <c r="F343">
        <f>21072.82-9329.84</f>
        <v>11742.98</v>
      </c>
    </row>
    <row r="344" spans="1:6">
      <c r="A344">
        <v>97</v>
      </c>
      <c r="B344">
        <v>3410</v>
      </c>
      <c r="C344" s="12" t="s">
        <v>123</v>
      </c>
      <c r="D344" s="5">
        <v>26400</v>
      </c>
      <c r="F344">
        <f>11145.6-4154.84</f>
        <v>6990.76</v>
      </c>
    </row>
    <row r="345" spans="1:6">
      <c r="A345">
        <v>97</v>
      </c>
      <c r="C345" s="12" t="s">
        <v>124</v>
      </c>
      <c r="D345" s="5">
        <v>8250</v>
      </c>
      <c r="F345">
        <v>6990.76</v>
      </c>
    </row>
    <row r="346" spans="1:6">
      <c r="A346">
        <v>97</v>
      </c>
      <c r="C346" s="12" t="s">
        <v>125</v>
      </c>
      <c r="D346" s="5">
        <v>18150</v>
      </c>
      <c r="F346">
        <v>0</v>
      </c>
    </row>
    <row r="347" spans="1:6">
      <c r="A347">
        <v>98</v>
      </c>
      <c r="B347">
        <v>3500</v>
      </c>
      <c r="C347" s="12" t="s">
        <v>127</v>
      </c>
      <c r="D347" s="5">
        <v>57012.525000000001</v>
      </c>
      <c r="F347">
        <f>95746.75-42063.96</f>
        <v>53682.79</v>
      </c>
    </row>
    <row r="348" spans="1:6">
      <c r="A348">
        <v>98</v>
      </c>
      <c r="C348" s="12" t="s">
        <v>128</v>
      </c>
      <c r="D348" s="5">
        <v>7350</v>
      </c>
      <c r="F348" s="5">
        <f>19546-5510</f>
        <v>14036</v>
      </c>
    </row>
    <row r="349" spans="1:6">
      <c r="A349">
        <v>98</v>
      </c>
      <c r="C349" s="12" t="s">
        <v>129</v>
      </c>
      <c r="D349" s="5">
        <v>13998.012500000001</v>
      </c>
      <c r="F349">
        <f>12638.81-2149</f>
        <v>10489.81</v>
      </c>
    </row>
    <row r="350" spans="1:6">
      <c r="A350">
        <v>98</v>
      </c>
      <c r="C350" s="12" t="s">
        <v>130</v>
      </c>
      <c r="D350" s="5">
        <v>13998.012500000001</v>
      </c>
      <c r="F350" s="5">
        <f>24419.9-13340</f>
        <v>11079.900000000001</v>
      </c>
    </row>
    <row r="351" spans="1:6">
      <c r="A351">
        <v>98</v>
      </c>
      <c r="C351" s="12" t="s">
        <v>131</v>
      </c>
      <c r="D351" s="5">
        <v>16666.5</v>
      </c>
      <c r="F351" s="5">
        <f>27466.04-15116.96</f>
        <v>12349.080000000002</v>
      </c>
    </row>
    <row r="352" spans="1:6">
      <c r="A352">
        <v>98</v>
      </c>
      <c r="C352" s="12" t="s">
        <v>132</v>
      </c>
      <c r="D352" s="5">
        <v>5000</v>
      </c>
      <c r="F352" s="5">
        <v>5728</v>
      </c>
    </row>
    <row r="353" spans="1:6">
      <c r="A353">
        <v>99</v>
      </c>
      <c r="B353">
        <v>3610</v>
      </c>
      <c r="C353" s="12" t="s">
        <v>133</v>
      </c>
      <c r="D353" s="5">
        <v>40642.474999999999</v>
      </c>
      <c r="F353" s="5">
        <f>59647.2-59160</f>
        <v>487.19999999999709</v>
      </c>
    </row>
    <row r="354" spans="1:6">
      <c r="A354">
        <v>99</v>
      </c>
      <c r="C354" s="12" t="s">
        <v>134</v>
      </c>
      <c r="D354" s="5">
        <v>40642.480000000003</v>
      </c>
      <c r="F354" s="5">
        <v>487.2</v>
      </c>
    </row>
    <row r="355" spans="1:6">
      <c r="A355">
        <v>100</v>
      </c>
      <c r="B355">
        <v>3750</v>
      </c>
      <c r="C355" s="12" t="s">
        <v>135</v>
      </c>
      <c r="D355" s="5">
        <v>93750</v>
      </c>
      <c r="F355">
        <f>100952.99-37836.35</f>
        <v>63116.640000000007</v>
      </c>
    </row>
    <row r="356" spans="1:6">
      <c r="A356">
        <v>100</v>
      </c>
      <c r="C356" s="12" t="s">
        <v>136</v>
      </c>
      <c r="D356" s="5">
        <v>28750</v>
      </c>
      <c r="F356" s="5">
        <f>12368</f>
        <v>12368</v>
      </c>
    </row>
    <row r="357" spans="1:6">
      <c r="A357">
        <v>100</v>
      </c>
      <c r="C357" s="12" t="s">
        <v>137</v>
      </c>
      <c r="D357" s="5">
        <v>65000</v>
      </c>
      <c r="F357">
        <f>88584.99-37836.35</f>
        <v>50748.640000000007</v>
      </c>
    </row>
    <row r="358" spans="1:6">
      <c r="A358">
        <v>101</v>
      </c>
      <c r="B358">
        <v>3820</v>
      </c>
      <c r="C358" s="12" t="s">
        <v>139</v>
      </c>
      <c r="D358" s="5">
        <v>62500</v>
      </c>
      <c r="F358">
        <f>88565.94-42254.55</f>
        <v>46311.39</v>
      </c>
    </row>
    <row r="359" spans="1:6">
      <c r="A359">
        <v>101</v>
      </c>
      <c r="C359" s="12" t="s">
        <v>140</v>
      </c>
      <c r="D359" s="5">
        <v>62500</v>
      </c>
      <c r="F359">
        <v>46311.39</v>
      </c>
    </row>
    <row r="360" spans="1:6">
      <c r="A360">
        <v>102</v>
      </c>
      <c r="B360">
        <v>3960</v>
      </c>
      <c r="C360" s="12" t="s">
        <v>141</v>
      </c>
      <c r="D360" s="5">
        <v>110744.35703333333</v>
      </c>
      <c r="F360">
        <f>174541.46-91618.4</f>
        <v>82923.06</v>
      </c>
    </row>
    <row r="361" spans="1:6">
      <c r="A361">
        <v>102</v>
      </c>
      <c r="C361" s="12" t="s">
        <v>142</v>
      </c>
      <c r="D361" s="5">
        <v>7500</v>
      </c>
      <c r="F361">
        <f>0</f>
        <v>0</v>
      </c>
    </row>
    <row r="362" spans="1:6">
      <c r="A362">
        <v>102</v>
      </c>
      <c r="C362" s="12" t="s">
        <v>143</v>
      </c>
      <c r="D362" s="5">
        <v>4075</v>
      </c>
      <c r="F362">
        <v>63.73</v>
      </c>
    </row>
    <row r="363" spans="1:6">
      <c r="A363">
        <v>102</v>
      </c>
      <c r="C363" s="12" t="s">
        <v>144</v>
      </c>
      <c r="D363" s="5">
        <v>99169.357033333334</v>
      </c>
      <c r="F363">
        <f>162572.73-79713.4</f>
        <v>82859.330000000016</v>
      </c>
    </row>
    <row r="364" spans="1:6">
      <c r="A364">
        <v>103</v>
      </c>
      <c r="B364">
        <v>1130</v>
      </c>
      <c r="C364" s="12" t="s">
        <v>72</v>
      </c>
      <c r="D364">
        <v>1680185.4600000002</v>
      </c>
      <c r="F364">
        <f>5003175.36-3319832.07</f>
        <v>1683343.2900000005</v>
      </c>
    </row>
    <row r="365" spans="1:6">
      <c r="A365">
        <v>103</v>
      </c>
      <c r="C365" s="12" t="s">
        <v>79</v>
      </c>
      <c r="D365" s="5">
        <v>1680185.46</v>
      </c>
      <c r="F365">
        <v>1683343.29</v>
      </c>
    </row>
    <row r="366" spans="1:6">
      <c r="A366">
        <v>104</v>
      </c>
      <c r="B366">
        <v>1340</v>
      </c>
      <c r="C366" s="4" t="s">
        <v>76</v>
      </c>
      <c r="D366" s="5">
        <v>2826561.6033333335</v>
      </c>
      <c r="F366">
        <f>6904529.49-4102844.26</f>
        <v>2801685.2300000004</v>
      </c>
    </row>
    <row r="367" spans="1:6">
      <c r="A367">
        <v>104</v>
      </c>
      <c r="C367" s="6" t="s">
        <v>80</v>
      </c>
      <c r="D367" s="5">
        <v>746749.09333333338</v>
      </c>
      <c r="F367">
        <f>746103.46-5568.64</f>
        <v>740534.82</v>
      </c>
    </row>
    <row r="368" spans="1:6">
      <c r="A368">
        <v>104</v>
      </c>
      <c r="C368" s="6" t="s">
        <v>81</v>
      </c>
      <c r="D368" s="5">
        <v>12500</v>
      </c>
      <c r="F368">
        <f>0</f>
        <v>0</v>
      </c>
    </row>
    <row r="369" spans="1:6">
      <c r="A369">
        <v>104</v>
      </c>
      <c r="C369" s="6" t="s">
        <v>82</v>
      </c>
      <c r="D369" s="5">
        <v>2067312.5100000002</v>
      </c>
      <c r="F369">
        <f>6158203.97-4097053.56</f>
        <v>2061150.4099999997</v>
      </c>
    </row>
    <row r="370" spans="1:6">
      <c r="A370">
        <v>105</v>
      </c>
      <c r="B370">
        <v>1410</v>
      </c>
      <c r="C370" s="6" t="s">
        <v>83</v>
      </c>
      <c r="D370" s="5">
        <v>427692.19754999992</v>
      </c>
      <c r="F370" s="5">
        <f>1311887.82-858020.42</f>
        <v>453867.4</v>
      </c>
    </row>
    <row r="371" spans="1:6">
      <c r="A371">
        <v>105</v>
      </c>
      <c r="C371" s="8" t="s">
        <v>84</v>
      </c>
      <c r="D371" s="5">
        <v>427692.2</v>
      </c>
      <c r="F371" s="5">
        <v>453867.4</v>
      </c>
    </row>
    <row r="372" spans="1:6">
      <c r="A372">
        <v>106</v>
      </c>
      <c r="B372">
        <v>1590</v>
      </c>
      <c r="C372" s="9" t="s">
        <v>85</v>
      </c>
      <c r="D372" s="5">
        <v>381396</v>
      </c>
      <c r="F372">
        <f>1216624.72-817575.68</f>
        <v>399049.03999999992</v>
      </c>
    </row>
    <row r="373" spans="1:6">
      <c r="A373">
        <v>106</v>
      </c>
      <c r="C373" s="9" t="s">
        <v>86</v>
      </c>
      <c r="D373" s="5">
        <v>170436</v>
      </c>
      <c r="F373">
        <f>456021.5-289687.5+22160.04</f>
        <v>188494.04</v>
      </c>
    </row>
    <row r="374" spans="1:6">
      <c r="A374">
        <v>106</v>
      </c>
      <c r="C374" s="9" t="s">
        <v>87</v>
      </c>
      <c r="D374" s="5">
        <v>210960</v>
      </c>
      <c r="F374" s="5">
        <f>695846.25-485291.25</f>
        <v>210555</v>
      </c>
    </row>
    <row r="375" spans="1:6">
      <c r="A375">
        <v>107</v>
      </c>
      <c r="B375">
        <v>1710</v>
      </c>
      <c r="C375" s="9" t="s">
        <v>88</v>
      </c>
      <c r="D375" s="5">
        <v>121411.92857142857</v>
      </c>
      <c r="F375">
        <f>127566.72-83459</f>
        <v>44107.72</v>
      </c>
    </row>
    <row r="376" spans="1:6">
      <c r="A376">
        <v>107</v>
      </c>
      <c r="C376" s="12" t="s">
        <v>89</v>
      </c>
      <c r="D376" s="5">
        <v>121411.93</v>
      </c>
      <c r="F376">
        <v>44107.72</v>
      </c>
    </row>
    <row r="377" spans="1:6">
      <c r="A377">
        <v>108</v>
      </c>
      <c r="B377">
        <v>2110</v>
      </c>
      <c r="C377" s="12" t="s">
        <v>92</v>
      </c>
      <c r="D377" s="5">
        <v>114934.7025</v>
      </c>
      <c r="E377" s="5">
        <v>114934.7025</v>
      </c>
      <c r="F377">
        <f>288625.78-204972.3</f>
        <v>83653.48000000004</v>
      </c>
    </row>
    <row r="378" spans="1:6">
      <c r="A378">
        <v>108</v>
      </c>
      <c r="C378" s="12" t="s">
        <v>93</v>
      </c>
      <c r="D378" s="5">
        <v>49500</v>
      </c>
      <c r="E378" s="5">
        <v>49500</v>
      </c>
      <c r="F378">
        <f>177103.78-123975.82</f>
        <v>53127.959999999992</v>
      </c>
    </row>
    <row r="379" spans="1:6">
      <c r="A379">
        <v>108</v>
      </c>
      <c r="C379" s="12" t="s">
        <v>94</v>
      </c>
      <c r="D379" s="5">
        <v>38225</v>
      </c>
      <c r="E379" s="5">
        <v>38225</v>
      </c>
      <c r="F379">
        <f>73509.41-53614.19</f>
        <v>19895.22</v>
      </c>
    </row>
    <row r="380" spans="1:6">
      <c r="A380">
        <v>108</v>
      </c>
      <c r="C380" s="12" t="s">
        <v>95</v>
      </c>
      <c r="D380" s="5">
        <v>14709.702499999999</v>
      </c>
      <c r="E380" s="5">
        <v>-5290.2975000000006</v>
      </c>
      <c r="F380">
        <f>0</f>
        <v>0</v>
      </c>
    </row>
    <row r="381" spans="1:6">
      <c r="A381">
        <v>108</v>
      </c>
      <c r="C381" s="12" t="s">
        <v>96</v>
      </c>
      <c r="D381" s="5">
        <v>12500</v>
      </c>
      <c r="E381" s="5">
        <v>32500</v>
      </c>
      <c r="F381" s="5">
        <f>38012.59-27382.29</f>
        <v>10630.299999999996</v>
      </c>
    </row>
    <row r="382" spans="1:6">
      <c r="A382">
        <v>109</v>
      </c>
      <c r="B382">
        <v>2610</v>
      </c>
      <c r="C382" s="12" t="s">
        <v>97</v>
      </c>
      <c r="D382" s="5">
        <v>100000</v>
      </c>
      <c r="F382">
        <f>300701.46-200815.24</f>
        <v>99886.22000000003</v>
      </c>
    </row>
    <row r="383" spans="1:6">
      <c r="A383">
        <v>109</v>
      </c>
      <c r="C383" s="12" t="s">
        <v>98</v>
      </c>
      <c r="D383" s="5">
        <v>100000</v>
      </c>
      <c r="F383">
        <v>99886.22</v>
      </c>
    </row>
    <row r="384" spans="1:6">
      <c r="A384">
        <v>110</v>
      </c>
      <c r="B384">
        <v>2900</v>
      </c>
      <c r="C384" s="12" t="s">
        <v>101</v>
      </c>
      <c r="D384" s="5">
        <v>57734.25</v>
      </c>
      <c r="E384">
        <v>37734.25</v>
      </c>
      <c r="F384">
        <f>87056.38-78748.65</f>
        <v>8307.7300000000105</v>
      </c>
    </row>
    <row r="385" spans="1:6">
      <c r="A385">
        <v>110</v>
      </c>
      <c r="C385" s="12" t="s">
        <v>102</v>
      </c>
      <c r="D385" s="5">
        <v>6421.75</v>
      </c>
      <c r="E385" s="5">
        <v>6424.75</v>
      </c>
      <c r="F385">
        <f>5672.45-3979.94</f>
        <v>1692.5099999999998</v>
      </c>
    </row>
    <row r="386" spans="1:6">
      <c r="A386">
        <v>110</v>
      </c>
      <c r="C386" s="12" t="s">
        <v>103</v>
      </c>
      <c r="D386" s="5">
        <v>6875</v>
      </c>
      <c r="E386" s="5">
        <v>6875</v>
      </c>
      <c r="F386" s="5">
        <f>16382.73-15404.73</f>
        <v>978</v>
      </c>
    </row>
    <row r="387" spans="1:6">
      <c r="A387">
        <v>110</v>
      </c>
      <c r="C387" s="12" t="s">
        <v>104</v>
      </c>
      <c r="D387" s="5">
        <v>15000</v>
      </c>
      <c r="E387" s="5">
        <v>15000</v>
      </c>
      <c r="F387" s="5">
        <f>22122.85-21345.65</f>
        <v>777.19999999999709</v>
      </c>
    </row>
    <row r="388" spans="1:6">
      <c r="A388">
        <v>110</v>
      </c>
      <c r="C388" s="12" t="s">
        <v>105</v>
      </c>
      <c r="D388" s="5">
        <v>14437.5</v>
      </c>
      <c r="E388" s="5">
        <v>14437.5</v>
      </c>
      <c r="F388" s="5">
        <f>16834.98-15554.27</f>
        <v>1280.7099999999991</v>
      </c>
    </row>
    <row r="389" spans="1:6">
      <c r="A389">
        <v>110</v>
      </c>
      <c r="C389" s="12" t="s">
        <v>106</v>
      </c>
      <c r="D389" s="5">
        <v>15000</v>
      </c>
      <c r="E389" s="5">
        <v>-20000</v>
      </c>
      <c r="F389" s="5">
        <f>26043.37-22464.06</f>
        <v>3579.3099999999977</v>
      </c>
    </row>
    <row r="390" spans="1:6">
      <c r="A390">
        <v>111</v>
      </c>
      <c r="B390">
        <v>3110</v>
      </c>
      <c r="C390" s="12" t="s">
        <v>108</v>
      </c>
      <c r="D390" s="5">
        <v>198039.5575</v>
      </c>
      <c r="E390" s="5">
        <v>198039.56</v>
      </c>
      <c r="F390">
        <f>523203.14-301638.69</f>
        <v>221564.45</v>
      </c>
    </row>
    <row r="391" spans="1:6">
      <c r="A391">
        <v>111</v>
      </c>
      <c r="C391" s="12" t="s">
        <v>109</v>
      </c>
      <c r="D391" s="5">
        <v>81375</v>
      </c>
      <c r="E391" s="5">
        <v>81375</v>
      </c>
      <c r="F391" s="5">
        <f>219504-95191</f>
        <v>124313</v>
      </c>
    </row>
    <row r="392" spans="1:6">
      <c r="A392">
        <v>111</v>
      </c>
      <c r="C392" s="12" t="s">
        <v>110</v>
      </c>
      <c r="D392" s="5">
        <v>8400</v>
      </c>
      <c r="E392" s="5">
        <v>8400</v>
      </c>
      <c r="F392" s="5">
        <f>18316.32-11619</f>
        <v>6697.32</v>
      </c>
    </row>
    <row r="393" spans="1:6">
      <c r="A393">
        <v>111</v>
      </c>
      <c r="C393" s="12" t="s">
        <v>111</v>
      </c>
      <c r="D393" s="5">
        <v>75000</v>
      </c>
      <c r="E393" s="5">
        <v>65000</v>
      </c>
      <c r="F393" s="5">
        <f>164965-111630</f>
        <v>53335</v>
      </c>
    </row>
    <row r="394" spans="1:6">
      <c r="A394">
        <v>111</v>
      </c>
      <c r="C394" s="12" t="s">
        <v>112</v>
      </c>
      <c r="D394" s="5">
        <v>4389.5574999999999</v>
      </c>
      <c r="E394" s="5">
        <v>-5610.4425000000001</v>
      </c>
      <c r="F394" s="5">
        <f>4907-3401</f>
        <v>1506</v>
      </c>
    </row>
    <row r="395" spans="1:6">
      <c r="A395">
        <v>111</v>
      </c>
      <c r="C395" s="12" t="s">
        <v>113</v>
      </c>
      <c r="D395" s="5">
        <v>28875</v>
      </c>
      <c r="E395" s="5">
        <v>48875</v>
      </c>
      <c r="F395" s="5">
        <f>115510.82-79797.69</f>
        <v>35713.130000000005</v>
      </c>
    </row>
    <row r="396" spans="1:6">
      <c r="A396">
        <v>112</v>
      </c>
      <c r="B396">
        <v>3220</v>
      </c>
      <c r="C396" s="12" t="s">
        <v>114</v>
      </c>
      <c r="D396" s="5">
        <v>342631.41249999998</v>
      </c>
      <c r="F396">
        <f>998539.52-652141.16</f>
        <v>346398.36</v>
      </c>
    </row>
    <row r="397" spans="1:6">
      <c r="A397">
        <v>112</v>
      </c>
      <c r="C397" s="12" t="s">
        <v>116</v>
      </c>
      <c r="D397" s="5">
        <v>317631.41249999998</v>
      </c>
      <c r="F397">
        <f>909459.12-599740.02</f>
        <v>309719.09999999998</v>
      </c>
    </row>
    <row r="398" spans="1:6">
      <c r="A398">
        <v>112</v>
      </c>
      <c r="C398" s="12" t="s">
        <v>115</v>
      </c>
      <c r="D398" s="5">
        <v>25000</v>
      </c>
      <c r="F398">
        <f>89080.4-52401.14</f>
        <v>36679.259999999995</v>
      </c>
    </row>
    <row r="399" spans="1:6">
      <c r="A399">
        <v>113</v>
      </c>
      <c r="B399">
        <v>3310</v>
      </c>
      <c r="C399" s="12" t="s">
        <v>118</v>
      </c>
      <c r="D399" s="5">
        <v>43803.214999999997</v>
      </c>
      <c r="F399">
        <f>81791.94-49196.59</f>
        <v>32595.350000000006</v>
      </c>
    </row>
    <row r="400" spans="1:6">
      <c r="A400">
        <v>113</v>
      </c>
      <c r="C400" s="12" t="s">
        <v>119</v>
      </c>
      <c r="D400" s="5">
        <v>17500</v>
      </c>
      <c r="F400">
        <f>42223.77-27223.77</f>
        <v>14999.999999999996</v>
      </c>
    </row>
    <row r="401" spans="1:6">
      <c r="A401">
        <v>113</v>
      </c>
      <c r="C401" s="9" t="s">
        <v>120</v>
      </c>
      <c r="D401" s="5">
        <v>2500</v>
      </c>
      <c r="F401">
        <f>0</f>
        <v>0</v>
      </c>
    </row>
    <row r="402" spans="1:6">
      <c r="A402">
        <v>113</v>
      </c>
      <c r="C402" s="12" t="s">
        <v>121</v>
      </c>
      <c r="D402" s="5">
        <v>5000</v>
      </c>
      <c r="F402">
        <v>0</v>
      </c>
    </row>
    <row r="403" spans="1:6">
      <c r="A403">
        <v>113</v>
      </c>
      <c r="C403" s="12" t="s">
        <v>122</v>
      </c>
      <c r="D403" s="5">
        <v>18803.215</v>
      </c>
      <c r="F403">
        <f>38668.17-21072.82</f>
        <v>17595.349999999999</v>
      </c>
    </row>
    <row r="404" spans="1:6">
      <c r="A404">
        <v>114</v>
      </c>
      <c r="B404">
        <v>3410</v>
      </c>
      <c r="C404" s="12" t="s">
        <v>123</v>
      </c>
      <c r="D404" s="5">
        <v>26400</v>
      </c>
      <c r="F404">
        <f>58363.52-11145.6</f>
        <v>47217.919999999998</v>
      </c>
    </row>
    <row r="405" spans="1:6">
      <c r="A405">
        <v>114</v>
      </c>
      <c r="C405" s="12" t="s">
        <v>124</v>
      </c>
      <c r="D405" s="5">
        <v>8250</v>
      </c>
      <c r="F405">
        <f>16149.68-11145.6</f>
        <v>5004.08</v>
      </c>
    </row>
    <row r="406" spans="1:6">
      <c r="A406">
        <v>114</v>
      </c>
      <c r="C406" s="12" t="s">
        <v>125</v>
      </c>
      <c r="D406" s="5">
        <v>18150</v>
      </c>
      <c r="F406">
        <f>42213.84</f>
        <v>42213.84</v>
      </c>
    </row>
    <row r="407" spans="1:6">
      <c r="A407">
        <v>115</v>
      </c>
      <c r="B407">
        <v>3500</v>
      </c>
      <c r="C407" s="12" t="s">
        <v>127</v>
      </c>
      <c r="D407" s="5">
        <v>57012.525000000001</v>
      </c>
      <c r="E407" s="5">
        <v>77012.524999999994</v>
      </c>
      <c r="F407">
        <f>127793.06-95746.75</f>
        <v>32046.309999999998</v>
      </c>
    </row>
    <row r="408" spans="1:6">
      <c r="A408">
        <v>115</v>
      </c>
      <c r="C408" s="12" t="s">
        <v>128</v>
      </c>
      <c r="D408" s="5">
        <v>7350</v>
      </c>
      <c r="E408" s="5">
        <v>7350</v>
      </c>
      <c r="F408" s="5">
        <f>21518-19546</f>
        <v>1972</v>
      </c>
    </row>
    <row r="409" spans="1:6">
      <c r="A409">
        <v>115</v>
      </c>
      <c r="C409" s="12" t="s">
        <v>129</v>
      </c>
      <c r="D409" s="5">
        <v>13998.012500000001</v>
      </c>
      <c r="E409" s="5">
        <v>13998.012500000001</v>
      </c>
      <c r="F409" s="5">
        <f>19953.61-12638.81</f>
        <v>7314.8000000000011</v>
      </c>
    </row>
    <row r="410" spans="1:6">
      <c r="A410">
        <v>115</v>
      </c>
      <c r="C410" s="12" t="s">
        <v>130</v>
      </c>
      <c r="D410" s="5">
        <v>13998.012500000001</v>
      </c>
      <c r="E410" s="5">
        <v>13998.012500000001</v>
      </c>
      <c r="F410" s="5">
        <f>28525.87-24419.9</f>
        <v>4105.9699999999975</v>
      </c>
    </row>
    <row r="411" spans="1:6">
      <c r="A411">
        <v>115</v>
      </c>
      <c r="C411" s="12" t="s">
        <v>131</v>
      </c>
      <c r="D411" s="5">
        <v>16666.5</v>
      </c>
      <c r="E411" s="5">
        <v>16666.5</v>
      </c>
      <c r="F411" s="5">
        <f>40551.58-27466.04</f>
        <v>13085.54</v>
      </c>
    </row>
    <row r="412" spans="1:6">
      <c r="A412">
        <v>115</v>
      </c>
      <c r="C412" s="12" t="s">
        <v>132</v>
      </c>
      <c r="D412" s="5">
        <v>5000</v>
      </c>
      <c r="E412" s="5">
        <v>25000</v>
      </c>
      <c r="F412" s="5">
        <f>16704-11136</f>
        <v>5568</v>
      </c>
    </row>
    <row r="413" spans="1:6">
      <c r="A413">
        <v>116</v>
      </c>
      <c r="B413">
        <v>3610</v>
      </c>
      <c r="C413" s="12" t="s">
        <v>133</v>
      </c>
      <c r="D413" s="5">
        <v>40642.474999999999</v>
      </c>
      <c r="F413" s="5">
        <f>60865.2-59647.2</f>
        <v>1218</v>
      </c>
    </row>
    <row r="414" spans="1:6">
      <c r="A414">
        <v>116</v>
      </c>
      <c r="C414" s="12" t="s">
        <v>134</v>
      </c>
      <c r="D414" s="5">
        <v>40642.480000000003</v>
      </c>
      <c r="F414" s="5">
        <v>1218</v>
      </c>
    </row>
    <row r="415" spans="1:6">
      <c r="A415">
        <v>117</v>
      </c>
      <c r="B415">
        <v>3750</v>
      </c>
      <c r="C415" s="12" t="s">
        <v>135</v>
      </c>
      <c r="D415" s="5">
        <v>93750</v>
      </c>
      <c r="F415">
        <f>168465.2-100952.99</f>
        <v>67512.210000000006</v>
      </c>
    </row>
    <row r="416" spans="1:6">
      <c r="A416">
        <v>117</v>
      </c>
      <c r="C416" s="12" t="s">
        <v>136</v>
      </c>
      <c r="D416" s="5">
        <v>28750</v>
      </c>
      <c r="F416">
        <f>37910.27-12368</f>
        <v>25542.269999999997</v>
      </c>
    </row>
    <row r="417" spans="1:6">
      <c r="A417">
        <v>117</v>
      </c>
      <c r="C417" s="12" t="s">
        <v>137</v>
      </c>
      <c r="D417" s="5">
        <v>65000</v>
      </c>
      <c r="F417">
        <f>130554.93-88584.99</f>
        <v>41969.939999999988</v>
      </c>
    </row>
    <row r="418" spans="1:6">
      <c r="A418">
        <v>118</v>
      </c>
      <c r="B418">
        <v>3820</v>
      </c>
      <c r="C418" s="12" t="s">
        <v>139</v>
      </c>
      <c r="D418" s="5">
        <v>62500</v>
      </c>
      <c r="F418">
        <f>140713.43-88565.94</f>
        <v>52147.489999999991</v>
      </c>
    </row>
    <row r="419" spans="1:6">
      <c r="A419">
        <v>118</v>
      </c>
      <c r="C419" s="12" t="s">
        <v>140</v>
      </c>
      <c r="D419" s="5">
        <v>62500</v>
      </c>
      <c r="F419">
        <v>52147.49</v>
      </c>
    </row>
    <row r="420" spans="1:6">
      <c r="A420">
        <v>119</v>
      </c>
      <c r="B420">
        <v>3960</v>
      </c>
      <c r="C420" s="12" t="s">
        <v>141</v>
      </c>
      <c r="D420" s="5">
        <v>110744.35703333333</v>
      </c>
      <c r="F420">
        <f>271409.4-174541.46</f>
        <v>96867.940000000031</v>
      </c>
    </row>
    <row r="421" spans="1:6">
      <c r="A421">
        <v>119</v>
      </c>
      <c r="C421" s="12" t="s">
        <v>142</v>
      </c>
      <c r="D421" s="5">
        <v>7500</v>
      </c>
      <c r="F421">
        <f>0</f>
        <v>0</v>
      </c>
    </row>
    <row r="422" spans="1:6">
      <c r="A422">
        <v>119</v>
      </c>
      <c r="C422" s="12" t="s">
        <v>143</v>
      </c>
      <c r="D422" s="5">
        <v>4075</v>
      </c>
      <c r="F422">
        <f>146.89-63.73</f>
        <v>83.16</v>
      </c>
    </row>
    <row r="423" spans="1:6">
      <c r="A423">
        <v>119</v>
      </c>
      <c r="C423" s="12" t="s">
        <v>144</v>
      </c>
      <c r="D423" s="5">
        <v>99169.357033333334</v>
      </c>
      <c r="F423">
        <f>259357.51-162572.73</f>
        <v>96784.78</v>
      </c>
    </row>
    <row r="424" spans="1:6">
      <c r="A424">
        <v>120</v>
      </c>
      <c r="B424">
        <v>1130</v>
      </c>
      <c r="C424" s="12" t="s">
        <v>72</v>
      </c>
      <c r="D424">
        <v>1680185.4600000002</v>
      </c>
      <c r="E424">
        <v>1687424.5600000003</v>
      </c>
      <c r="F424">
        <f>6706214.28-5003175.36</f>
        <v>1703038.92</v>
      </c>
    </row>
    <row r="425" spans="1:6">
      <c r="A425">
        <v>120</v>
      </c>
      <c r="C425" s="12" t="s">
        <v>79</v>
      </c>
      <c r="D425" s="5">
        <v>1680185.46</v>
      </c>
      <c r="E425">
        <v>1687424.56</v>
      </c>
      <c r="F425">
        <v>1703038.92</v>
      </c>
    </row>
    <row r="426" spans="1:6">
      <c r="A426">
        <v>121</v>
      </c>
      <c r="B426">
        <v>1340</v>
      </c>
      <c r="C426" s="4" t="s">
        <v>76</v>
      </c>
      <c r="D426" s="5">
        <v>4204769.9433333343</v>
      </c>
      <c r="F426">
        <f>11105018.15-6904529.49</f>
        <v>4200488.66</v>
      </c>
    </row>
    <row r="427" spans="1:6">
      <c r="A427">
        <v>121</v>
      </c>
      <c r="C427" s="6" t="s">
        <v>80</v>
      </c>
      <c r="D427" s="5">
        <v>746749.09333333338</v>
      </c>
      <c r="F427">
        <f>1500737.29-746103.46</f>
        <v>754633.83000000007</v>
      </c>
    </row>
    <row r="428" spans="1:6">
      <c r="A428">
        <v>121</v>
      </c>
      <c r="C428" s="6" t="s">
        <v>81</v>
      </c>
      <c r="D428">
        <v>12500</v>
      </c>
      <c r="F428">
        <f>0</f>
        <v>0</v>
      </c>
    </row>
    <row r="429" spans="1:6">
      <c r="A429">
        <v>121</v>
      </c>
      <c r="C429" s="6" t="s">
        <v>82</v>
      </c>
      <c r="D429">
        <v>3445520.8500000006</v>
      </c>
      <c r="F429">
        <f>9604058.8-6158203.97</f>
        <v>3445854.830000001</v>
      </c>
    </row>
    <row r="430" spans="1:6">
      <c r="A430">
        <v>122</v>
      </c>
      <c r="B430">
        <v>1410</v>
      </c>
      <c r="C430" s="6" t="s">
        <v>83</v>
      </c>
      <c r="D430" s="5">
        <v>427692.19754999992</v>
      </c>
      <c r="F430">
        <f>1756920.56-1311887.82</f>
        <v>445032.74</v>
      </c>
    </row>
    <row r="431" spans="1:6">
      <c r="A431">
        <v>122</v>
      </c>
      <c r="C431" s="8" t="s">
        <v>84</v>
      </c>
      <c r="D431" s="5">
        <v>427692.2</v>
      </c>
      <c r="F431">
        <v>445032.74</v>
      </c>
    </row>
    <row r="432" spans="1:6">
      <c r="A432">
        <v>123</v>
      </c>
      <c r="B432">
        <v>1590</v>
      </c>
      <c r="C432" s="9" t="s">
        <v>85</v>
      </c>
      <c r="D432" s="5">
        <v>351396</v>
      </c>
      <c r="E432" s="5">
        <v>344156.9</v>
      </c>
      <c r="F432" s="5">
        <f>1564194.22-1216624.72</f>
        <v>347569.5</v>
      </c>
    </row>
    <row r="433" spans="1:6">
      <c r="A433">
        <v>123</v>
      </c>
      <c r="C433" s="9" t="s">
        <v>86</v>
      </c>
      <c r="D433" s="5">
        <v>140436</v>
      </c>
      <c r="E433" s="5">
        <v>133196.9</v>
      </c>
      <c r="F433" s="5">
        <f>591352.5-456021.5</f>
        <v>135331</v>
      </c>
    </row>
    <row r="434" spans="1:6">
      <c r="A434">
        <v>123</v>
      </c>
      <c r="C434" s="9" t="s">
        <v>87</v>
      </c>
      <c r="D434" s="5">
        <v>210960</v>
      </c>
      <c r="E434" s="5">
        <v>210960</v>
      </c>
      <c r="F434" s="5">
        <f>908084.75-695846.25</f>
        <v>212238.5</v>
      </c>
    </row>
    <row r="435" spans="1:6">
      <c r="A435">
        <v>124</v>
      </c>
      <c r="B435">
        <v>1710</v>
      </c>
      <c r="C435" s="9" t="s">
        <v>88</v>
      </c>
      <c r="D435" s="5">
        <v>202353.21428571426</v>
      </c>
      <c r="F435">
        <f>173176.14-127566.72</f>
        <v>45609.420000000013</v>
      </c>
    </row>
    <row r="436" spans="1:6">
      <c r="A436">
        <v>124</v>
      </c>
      <c r="C436" s="12" t="s">
        <v>89</v>
      </c>
      <c r="D436" s="5">
        <v>202353.21</v>
      </c>
      <c r="F436">
        <v>45609.42</v>
      </c>
    </row>
    <row r="437" spans="1:6">
      <c r="A437">
        <v>125</v>
      </c>
      <c r="B437">
        <v>2110</v>
      </c>
      <c r="C437" s="12" t="s">
        <v>92</v>
      </c>
      <c r="D437" s="5">
        <v>114934.7025</v>
      </c>
      <c r="E437" s="5">
        <v>115072.0825</v>
      </c>
      <c r="F437">
        <f>379856-288625.78</f>
        <v>91230.219999999972</v>
      </c>
    </row>
    <row r="438" spans="1:6">
      <c r="A438">
        <v>125</v>
      </c>
      <c r="C438" s="12" t="s">
        <v>93</v>
      </c>
      <c r="D438" s="5">
        <v>49500</v>
      </c>
      <c r="E438" s="5">
        <v>87500</v>
      </c>
      <c r="F438">
        <f>232958.31-177103.78</f>
        <v>55854.53</v>
      </c>
    </row>
    <row r="439" spans="1:6">
      <c r="A439">
        <v>125</v>
      </c>
      <c r="C439" s="12" t="s">
        <v>94</v>
      </c>
      <c r="D439" s="5">
        <v>38225</v>
      </c>
      <c r="E439" s="5">
        <v>18225</v>
      </c>
      <c r="F439">
        <f>96760.31-73509.41</f>
        <v>23250.899999999994</v>
      </c>
    </row>
    <row r="440" spans="1:6">
      <c r="A440">
        <v>125</v>
      </c>
      <c r="C440" s="12" t="s">
        <v>95</v>
      </c>
      <c r="D440" s="5">
        <v>14709.702499999999</v>
      </c>
      <c r="E440" s="5">
        <v>-3290.2975000000006</v>
      </c>
      <c r="F440">
        <f>0</f>
        <v>0</v>
      </c>
    </row>
    <row r="441" spans="1:6">
      <c r="A441">
        <v>125</v>
      </c>
      <c r="C441" s="12" t="s">
        <v>96</v>
      </c>
      <c r="D441" s="5">
        <v>12500</v>
      </c>
      <c r="E441" s="5">
        <v>12637.38</v>
      </c>
      <c r="F441" s="5">
        <f>50137.38-38012.595</f>
        <v>12124.784999999996</v>
      </c>
    </row>
    <row r="442" spans="1:6">
      <c r="A442">
        <v>126</v>
      </c>
      <c r="B442">
        <v>2610</v>
      </c>
      <c r="C442" s="12" t="s">
        <v>97</v>
      </c>
      <c r="D442" s="5">
        <v>100000</v>
      </c>
      <c r="E442">
        <v>107862.62</v>
      </c>
      <c r="F442" s="5">
        <f>407413.26-300701.46</f>
        <v>106711.79999999999</v>
      </c>
    </row>
    <row r="443" spans="1:6">
      <c r="A443">
        <v>126</v>
      </c>
      <c r="C443" s="12" t="s">
        <v>98</v>
      </c>
      <c r="D443" s="5">
        <v>100000</v>
      </c>
      <c r="E443" s="5">
        <v>107862.62</v>
      </c>
      <c r="F443" s="5">
        <v>106711.8</v>
      </c>
    </row>
    <row r="444" spans="1:6">
      <c r="A444">
        <v>127</v>
      </c>
      <c r="B444">
        <v>2900</v>
      </c>
      <c r="C444" s="12" t="s">
        <v>101</v>
      </c>
      <c r="D444">
        <v>57734.25</v>
      </c>
      <c r="E444">
        <v>49734.25</v>
      </c>
      <c r="F444">
        <f>110605.64-87056.38</f>
        <v>23549.259999999995</v>
      </c>
    </row>
    <row r="445" spans="1:6">
      <c r="A445">
        <v>127</v>
      </c>
      <c r="C445" s="12" t="s">
        <v>102</v>
      </c>
      <c r="D445" s="5">
        <v>6421.75</v>
      </c>
      <c r="E445" s="5">
        <v>6421.75</v>
      </c>
      <c r="F445">
        <f>9642.23-5672.45</f>
        <v>3969.7799999999997</v>
      </c>
    </row>
    <row r="446" spans="1:6">
      <c r="A446">
        <v>127</v>
      </c>
      <c r="C446" s="12" t="s">
        <v>103</v>
      </c>
      <c r="D446" s="5">
        <v>6875</v>
      </c>
      <c r="E446" s="5">
        <v>6875</v>
      </c>
      <c r="F446">
        <f>27431.54-16382.73</f>
        <v>11048.810000000001</v>
      </c>
    </row>
    <row r="447" spans="1:6">
      <c r="A447">
        <v>127</v>
      </c>
      <c r="C447" s="12" t="s">
        <v>104</v>
      </c>
      <c r="D447" s="5">
        <v>15000</v>
      </c>
      <c r="E447" s="5">
        <v>7000</v>
      </c>
      <c r="F447" s="5">
        <f>22631.85-22122.85</f>
        <v>509</v>
      </c>
    </row>
    <row r="448" spans="1:6">
      <c r="A448">
        <v>127</v>
      </c>
      <c r="C448" s="12" t="s">
        <v>105</v>
      </c>
      <c r="D448" s="5">
        <v>14437.5</v>
      </c>
      <c r="E448" s="5">
        <v>14437.5</v>
      </c>
      <c r="F448">
        <f>20189.66-16834.98</f>
        <v>3354.6800000000003</v>
      </c>
    </row>
    <row r="449" spans="1:6">
      <c r="A449">
        <v>127</v>
      </c>
      <c r="C449" s="12" t="s">
        <v>106</v>
      </c>
      <c r="D449" s="5">
        <v>15000</v>
      </c>
      <c r="E449" s="5">
        <v>15000</v>
      </c>
      <c r="F449">
        <f>30710.36-26043.37</f>
        <v>4666.9900000000016</v>
      </c>
    </row>
    <row r="450" spans="1:6">
      <c r="A450">
        <v>128</v>
      </c>
      <c r="B450">
        <v>3110</v>
      </c>
      <c r="C450" s="12" t="s">
        <v>108</v>
      </c>
      <c r="D450" s="5">
        <v>198039.5575</v>
      </c>
      <c r="E450" s="5">
        <v>172985.5575</v>
      </c>
      <c r="F450">
        <f>718034.91-523203.14</f>
        <v>194831.77000000002</v>
      </c>
    </row>
    <row r="451" spans="1:6">
      <c r="A451">
        <v>128</v>
      </c>
      <c r="C451" s="12" t="s">
        <v>109</v>
      </c>
      <c r="D451" s="5">
        <v>81375</v>
      </c>
      <c r="E451" s="5">
        <v>84281</v>
      </c>
      <c r="F451" s="5">
        <f>328406-219504</f>
        <v>108902</v>
      </c>
    </row>
    <row r="452" spans="1:6">
      <c r="A452">
        <v>128</v>
      </c>
      <c r="C452" s="12" t="s">
        <v>110</v>
      </c>
      <c r="D452" s="5">
        <v>8400</v>
      </c>
      <c r="E452" s="5">
        <v>5440</v>
      </c>
      <c r="F452" s="5">
        <f>22542.13-18316.32</f>
        <v>4225.8100000000013</v>
      </c>
    </row>
    <row r="453" spans="1:6">
      <c r="A453">
        <v>128</v>
      </c>
      <c r="C453" s="12" t="s">
        <v>111</v>
      </c>
      <c r="D453" s="5">
        <v>75000</v>
      </c>
      <c r="E453" s="5">
        <v>35000</v>
      </c>
      <c r="F453" s="5">
        <f>211378-164965</f>
        <v>46413</v>
      </c>
    </row>
    <row r="454" spans="1:6">
      <c r="A454">
        <v>128</v>
      </c>
      <c r="C454" s="12" t="s">
        <v>112</v>
      </c>
      <c r="D454" s="5">
        <v>4389.5574999999999</v>
      </c>
      <c r="E454" s="5">
        <v>19389.557499999999</v>
      </c>
      <c r="F454" s="5">
        <f>6425-4907</f>
        <v>1518</v>
      </c>
    </row>
    <row r="455" spans="1:6">
      <c r="A455">
        <v>128</v>
      </c>
      <c r="C455" s="12" t="s">
        <v>113</v>
      </c>
      <c r="D455" s="5">
        <v>28875</v>
      </c>
      <c r="E455" s="5">
        <v>28875</v>
      </c>
      <c r="F455" s="5">
        <f>149283.78-115510.82</f>
        <v>33772.959999999992</v>
      </c>
    </row>
    <row r="456" spans="1:6">
      <c r="A456">
        <v>129</v>
      </c>
      <c r="B456">
        <v>3220</v>
      </c>
      <c r="C456" s="12" t="s">
        <v>114</v>
      </c>
      <c r="D456" s="5">
        <v>342631.41249999998</v>
      </c>
      <c r="E456" s="5">
        <v>356631.41249999998</v>
      </c>
      <c r="F456">
        <f>1335914.34-998539.52</f>
        <v>337374.82000000007</v>
      </c>
    </row>
    <row r="457" spans="1:6">
      <c r="A457">
        <v>129</v>
      </c>
      <c r="C457" s="12" t="s">
        <v>116</v>
      </c>
      <c r="D457" s="5">
        <v>317631.41249999998</v>
      </c>
      <c r="E457" s="5">
        <v>317631.41249999998</v>
      </c>
      <c r="F457">
        <f>1223249.63-909459.12</f>
        <v>313790.50999999989</v>
      </c>
    </row>
    <row r="458" spans="1:6">
      <c r="A458">
        <v>129</v>
      </c>
      <c r="C458" s="12" t="s">
        <v>115</v>
      </c>
      <c r="D458" s="5">
        <v>25000</v>
      </c>
      <c r="E458" s="5">
        <v>39000</v>
      </c>
      <c r="F458">
        <f>112664.71-89080.4</f>
        <v>23584.310000000012</v>
      </c>
    </row>
    <row r="459" spans="1:6">
      <c r="A459">
        <v>130</v>
      </c>
      <c r="B459">
        <v>3310</v>
      </c>
      <c r="C459" s="12" t="s">
        <v>118</v>
      </c>
      <c r="D459" s="5">
        <v>43803.214999999997</v>
      </c>
      <c r="E459">
        <v>32310.924999999996</v>
      </c>
      <c r="F459">
        <f>131948.88-81791.94</f>
        <v>50156.94</v>
      </c>
    </row>
    <row r="460" spans="1:6">
      <c r="A460">
        <v>130</v>
      </c>
      <c r="C460" s="12" t="s">
        <v>119</v>
      </c>
      <c r="D460" s="5">
        <v>17500</v>
      </c>
      <c r="E460">
        <v>18063.77</v>
      </c>
      <c r="F460">
        <f>70563.77-42223.77</f>
        <v>28340.000000000007</v>
      </c>
    </row>
    <row r="461" spans="1:6">
      <c r="A461">
        <v>130</v>
      </c>
      <c r="C461" s="9" t="s">
        <v>120</v>
      </c>
      <c r="D461" s="5">
        <v>2500</v>
      </c>
      <c r="E461">
        <v>2500</v>
      </c>
      <c r="F461">
        <v>0</v>
      </c>
    </row>
    <row r="462" spans="1:6">
      <c r="A462">
        <v>130</v>
      </c>
      <c r="C462" s="12" t="s">
        <v>121</v>
      </c>
      <c r="D462" s="5">
        <v>5000</v>
      </c>
      <c r="E462">
        <v>-7056.0599999999995</v>
      </c>
      <c r="F462">
        <v>1000</v>
      </c>
    </row>
    <row r="463" spans="1:6">
      <c r="A463">
        <v>130</v>
      </c>
      <c r="C463" s="12" t="s">
        <v>122</v>
      </c>
      <c r="D463" s="5">
        <v>18803.215</v>
      </c>
      <c r="E463">
        <v>18803.215</v>
      </c>
      <c r="F463">
        <f>59485.11-38668.17</f>
        <v>20816.940000000002</v>
      </c>
    </row>
    <row r="464" spans="1:6">
      <c r="A464">
        <v>131</v>
      </c>
      <c r="B464">
        <v>3410</v>
      </c>
      <c r="C464" s="12" t="s">
        <v>123</v>
      </c>
      <c r="D464" s="5">
        <v>26400</v>
      </c>
      <c r="E464" s="5">
        <v>17892.29</v>
      </c>
      <c r="F464">
        <f>85868.71-58363.52</f>
        <v>27505.19000000001</v>
      </c>
    </row>
    <row r="465" spans="1:6">
      <c r="A465">
        <v>131</v>
      </c>
      <c r="C465" s="12" t="s">
        <v>124</v>
      </c>
      <c r="D465" s="5">
        <v>8250</v>
      </c>
      <c r="E465" s="5">
        <v>8250</v>
      </c>
      <c r="F465">
        <f>21776.42-16149.68</f>
        <v>5626.739999999998</v>
      </c>
    </row>
    <row r="466" spans="1:6">
      <c r="A466">
        <v>131</v>
      </c>
      <c r="C466" s="12" t="s">
        <v>125</v>
      </c>
      <c r="D466" s="5">
        <v>18150</v>
      </c>
      <c r="E466" s="5">
        <v>9642.2900000000009</v>
      </c>
      <c r="F466">
        <f>64092.29-42213.84</f>
        <v>21878.450000000004</v>
      </c>
    </row>
    <row r="467" spans="1:6">
      <c r="A467">
        <v>132</v>
      </c>
      <c r="B467">
        <v>3500</v>
      </c>
      <c r="C467" s="12" t="s">
        <v>127</v>
      </c>
      <c r="D467" s="5">
        <v>57012.525000000001</v>
      </c>
      <c r="E467" s="5">
        <v>48012.525000000001</v>
      </c>
      <c r="F467">
        <f>200290.33-127793.06</f>
        <v>72497.26999999999</v>
      </c>
    </row>
    <row r="468" spans="1:6">
      <c r="A468">
        <v>132</v>
      </c>
      <c r="C468" s="12" t="s">
        <v>128</v>
      </c>
      <c r="D468" s="5">
        <v>7350</v>
      </c>
      <c r="E468" s="5">
        <v>44650.21</v>
      </c>
      <c r="F468">
        <f>66700.21-21518</f>
        <v>45182.210000000006</v>
      </c>
    </row>
    <row r="469" spans="1:6">
      <c r="A469">
        <v>132</v>
      </c>
      <c r="C469" s="12" t="s">
        <v>129</v>
      </c>
      <c r="D469" s="5">
        <v>13998.012500000001</v>
      </c>
      <c r="E469" s="5">
        <v>-16922.197499999998</v>
      </c>
      <c r="F469" s="5">
        <f>23989.61-19953.61</f>
        <v>4036</v>
      </c>
    </row>
    <row r="470" spans="1:6">
      <c r="A470">
        <v>132</v>
      </c>
      <c r="C470" s="12" t="s">
        <v>130</v>
      </c>
      <c r="D470" s="5">
        <v>13998.012500000001</v>
      </c>
      <c r="E470" s="5">
        <v>-6381.9874999999993</v>
      </c>
      <c r="F470">
        <f>31846.87-28525.87</f>
        <v>3321</v>
      </c>
    </row>
    <row r="471" spans="1:6">
      <c r="A471">
        <v>132</v>
      </c>
      <c r="C471" s="12" t="s">
        <v>131</v>
      </c>
      <c r="D471" s="5">
        <v>16666.5</v>
      </c>
      <c r="E471" s="5">
        <v>36666.5</v>
      </c>
      <c r="F471">
        <f>54709.64-40551.58</f>
        <v>14158.059999999998</v>
      </c>
    </row>
    <row r="472" spans="1:6">
      <c r="A472">
        <v>132</v>
      </c>
      <c r="C472" s="12" t="s">
        <v>132</v>
      </c>
      <c r="D472" s="5">
        <v>5000</v>
      </c>
      <c r="E472" s="5">
        <v>-10000</v>
      </c>
      <c r="F472">
        <f>18560-16704+4484-540</f>
        <v>5800</v>
      </c>
    </row>
    <row r="473" spans="1:6">
      <c r="A473">
        <v>133</v>
      </c>
      <c r="B473">
        <v>3610</v>
      </c>
      <c r="C473" s="12" t="s">
        <v>133</v>
      </c>
      <c r="D473" s="5">
        <v>40642.474999999999</v>
      </c>
      <c r="F473">
        <f>107938.6-60865.2</f>
        <v>47073.400000000009</v>
      </c>
    </row>
    <row r="474" spans="1:6">
      <c r="A474">
        <v>133</v>
      </c>
      <c r="C474" s="12" t="s">
        <v>134</v>
      </c>
      <c r="D474" s="5">
        <v>40642.480000000003</v>
      </c>
      <c r="F474">
        <v>47073.4</v>
      </c>
    </row>
    <row r="475" spans="1:6">
      <c r="A475">
        <v>134</v>
      </c>
      <c r="B475">
        <v>3750</v>
      </c>
      <c r="C475" s="12" t="s">
        <v>135</v>
      </c>
      <c r="D475" s="5">
        <v>93750</v>
      </c>
      <c r="F475">
        <f>279453.55-168465.2</f>
        <v>110988.34999999998</v>
      </c>
    </row>
    <row r="476" spans="1:6">
      <c r="A476">
        <v>134</v>
      </c>
      <c r="C476" s="12" t="s">
        <v>136</v>
      </c>
      <c r="D476" s="5">
        <v>28750</v>
      </c>
      <c r="F476">
        <f>70978.27-37910.27</f>
        <v>33068.000000000007</v>
      </c>
    </row>
    <row r="477" spans="1:6">
      <c r="A477">
        <v>134</v>
      </c>
      <c r="C477" s="12" t="s">
        <v>137</v>
      </c>
      <c r="D477" s="5">
        <v>65000</v>
      </c>
      <c r="F477">
        <f>208475.28-130554.93</f>
        <v>77920.350000000006</v>
      </c>
    </row>
    <row r="478" spans="1:6">
      <c r="A478">
        <v>135</v>
      </c>
      <c r="B478">
        <v>3820</v>
      </c>
      <c r="C478" s="12" t="s">
        <v>139</v>
      </c>
      <c r="D478" s="5">
        <v>62500</v>
      </c>
      <c r="E478" s="5">
        <v>102500</v>
      </c>
      <c r="F478">
        <f>285538.56-140713.43</f>
        <v>144825.13</v>
      </c>
    </row>
    <row r="479" spans="1:6">
      <c r="A479">
        <v>135</v>
      </c>
      <c r="C479" s="12" t="s">
        <v>140</v>
      </c>
      <c r="D479" s="5">
        <v>62500</v>
      </c>
      <c r="E479">
        <v>102500</v>
      </c>
      <c r="F479">
        <v>144825.13</v>
      </c>
    </row>
    <row r="480" spans="1:6">
      <c r="A480">
        <v>136</v>
      </c>
      <c r="B480">
        <v>3960</v>
      </c>
      <c r="C480" s="12" t="s">
        <v>141</v>
      </c>
      <c r="D480" s="5">
        <v>110744.35703333333</v>
      </c>
      <c r="F480">
        <f>401505.65-271409.4</f>
        <v>130096.25</v>
      </c>
    </row>
    <row r="481" spans="1:6">
      <c r="A481">
        <v>136</v>
      </c>
      <c r="C481" s="12" t="s">
        <v>142</v>
      </c>
      <c r="D481" s="5">
        <v>7500</v>
      </c>
      <c r="F481" s="5">
        <f>16945-11905</f>
        <v>5040</v>
      </c>
    </row>
    <row r="482" spans="1:6">
      <c r="A482">
        <v>136</v>
      </c>
      <c r="C482" s="12" t="s">
        <v>143</v>
      </c>
      <c r="D482" s="5">
        <v>4075</v>
      </c>
      <c r="F482">
        <v>0</v>
      </c>
    </row>
    <row r="483" spans="1:6">
      <c r="A483">
        <v>136</v>
      </c>
      <c r="C483" s="12" t="s">
        <v>144</v>
      </c>
      <c r="D483" s="5">
        <v>99169.357033333334</v>
      </c>
      <c r="F483">
        <f>384413.76-259357.51</f>
        <v>125056.25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237122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CNDH</dc:creator>
  <cp:lastModifiedBy>CNDH</cp:lastModifiedBy>
  <cp:lastPrinted>2017-03-29T14:54:48Z</cp:lastPrinted>
  <dcterms:created xsi:type="dcterms:W3CDTF">2017-04-21T16:41:21Z</dcterms:created>
  <dcterms:modified xsi:type="dcterms:W3CDTF">2017-04-21T16:41:22Z</dcterms:modified>
</cp:coreProperties>
</file>